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75" windowHeight="7500" activeTab="0"/>
  </bookViews>
  <sheets>
    <sheet name="MATRIX - Case Level" sheetId="1" r:id="rId1"/>
    <sheet name="Access Level Descriptions" sheetId="2" state="hidden" r:id="rId2"/>
    <sheet name="DV-IDENTITY-0" sheetId="3" state="veryHidden" r:id="rId3"/>
  </sheets>
  <definedNames>
    <definedName name="_xlnm.Print_Area" localSheetId="0">'MATRIX - Case Level'!$A$1:$Q$82</definedName>
    <definedName name="_xlnm.Print_Titles" localSheetId="0">'MATRIX - Case Level'!$1:$19</definedName>
  </definedNames>
  <calcPr fullCalcOnLoad="1"/>
</workbook>
</file>

<file path=xl/comments1.xml><?xml version="1.0" encoding="utf-8"?>
<comments xmlns="http://schemas.openxmlformats.org/spreadsheetml/2006/main">
  <authors>
    <author>JTaylor</author>
    <author>Windows User</author>
  </authors>
  <commentList>
    <comment ref="B19" authorId="0">
      <text>
        <r>
          <rPr>
            <sz val="8"/>
            <rFont val="Tahoma"/>
            <family val="2"/>
          </rPr>
          <t>(P) = Public
(VOR) = Viewable on Request
(C) = Confidential
(S) = Sealed
(E) = Expunged</t>
        </r>
      </text>
    </comment>
    <comment ref="P19" authorId="0">
      <text>
        <r>
          <rPr>
            <sz val="8"/>
            <rFont val="Tahoma"/>
            <family val="2"/>
          </rPr>
          <t xml:space="preserve">Local Case Type
</t>
        </r>
      </text>
    </comment>
    <comment ref="A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progress dockets, limited to case numbers and case type; party name, race, gender and year of birth; names and addresses of counsel; lists or indices of any judgments, orders, pleadings, motions, notices or other documents in the court file; notations of court events, clerk actions and case dispositions; full date of birth of defendant in criminal cases; name and date of birth and death of deceased in probate cases, addresses of attorney of record or self-represented parties in probate cases</t>
        </r>
      </text>
    </comment>
  </commentList>
</comments>
</file>

<file path=xl/sharedStrings.xml><?xml version="1.0" encoding="utf-8"?>
<sst xmlns="http://schemas.openxmlformats.org/spreadsheetml/2006/main" count="1054" uniqueCount="193">
  <si>
    <t>Case #</t>
  </si>
  <si>
    <t>Party Names</t>
  </si>
  <si>
    <t>Docket &amp; Case Information</t>
  </si>
  <si>
    <t>View Public</t>
  </si>
  <si>
    <t>View Confidential</t>
  </si>
  <si>
    <t>View Sealed</t>
  </si>
  <si>
    <t>View Expunged</t>
  </si>
  <si>
    <r>
      <t xml:space="preserve">Access Level:  </t>
    </r>
    <r>
      <rPr>
        <b/>
        <sz val="20"/>
        <rFont val="Arial"/>
        <family val="2"/>
      </rPr>
      <t>↓</t>
    </r>
  </si>
  <si>
    <r>
      <t>Access To:</t>
    </r>
    <r>
      <rPr>
        <b/>
        <sz val="20"/>
        <rFont val="Arial"/>
        <family val="2"/>
      </rPr>
      <t xml:space="preserve"> →</t>
    </r>
  </si>
  <si>
    <t>A</t>
  </si>
  <si>
    <t>B</t>
  </si>
  <si>
    <t>C</t>
  </si>
  <si>
    <t>D</t>
  </si>
  <si>
    <t>E</t>
  </si>
  <si>
    <t>F</t>
  </si>
  <si>
    <t>G</t>
  </si>
  <si>
    <t>H</t>
  </si>
  <si>
    <t>Y</t>
  </si>
  <si>
    <t>View Document Level VOR</t>
  </si>
  <si>
    <t>View Case Level VOR</t>
  </si>
  <si>
    <t>-</t>
  </si>
  <si>
    <t>REQ</t>
  </si>
  <si>
    <t>Old Courtview Description</t>
  </si>
  <si>
    <t>All but expunged (Expunged/sealed under Ch. 943)</t>
  </si>
  <si>
    <t>No expunged or Sealed (Civil sealing Rule 2.420 and includes redactions)</t>
  </si>
  <si>
    <t>No expunged, sealed, or confidential</t>
  </si>
  <si>
    <t>No expunged, sealed, confidential, or viewable on request</t>
  </si>
  <si>
    <t>Case Number, Name, Dockets only</t>
  </si>
  <si>
    <t>Case Number, Name only</t>
  </si>
  <si>
    <t>Case Number only</t>
  </si>
  <si>
    <t>No Records</t>
  </si>
  <si>
    <t>Images</t>
  </si>
  <si>
    <t>Case &amp; Docket Data</t>
  </si>
  <si>
    <t>See Access Details</t>
  </si>
  <si>
    <t>787, 794, 796, 800, 825, 827, 847, 921</t>
  </si>
  <si>
    <t>UCN</t>
  </si>
  <si>
    <t>Case - Charge/Filing Description</t>
  </si>
  <si>
    <t>County Criminal Appeals</t>
  </si>
  <si>
    <t>County Criminal Appeals Sexual Abuse</t>
  </si>
  <si>
    <t>County Civil Appeals</t>
  </si>
  <si>
    <t>Circuit Civil</t>
  </si>
  <si>
    <t>Mortgage Foreclosure</t>
  </si>
  <si>
    <t>County Civil</t>
  </si>
  <si>
    <t>County Foreclosure</t>
  </si>
  <si>
    <t>Felony</t>
  </si>
  <si>
    <t>Felony - sexual cases</t>
  </si>
  <si>
    <t>Juvenile Delinquency</t>
  </si>
  <si>
    <t>County Ordinance Infractions</t>
  </si>
  <si>
    <t>County Ordinance - Arrests</t>
  </si>
  <si>
    <t>Probate</t>
  </si>
  <si>
    <t>Criminal Traffic</t>
  </si>
  <si>
    <t>Juvenile Dependency</t>
  </si>
  <si>
    <t>Juvenile Truancy</t>
  </si>
  <si>
    <t>Domestic Relations</t>
  </si>
  <si>
    <t xml:space="preserve">Domestic Relations - Paternity </t>
  </si>
  <si>
    <t>Delayed Birth Certificate</t>
  </si>
  <si>
    <t>Name Change</t>
  </si>
  <si>
    <t>Dissolution</t>
  </si>
  <si>
    <t>Repeat Violence</t>
  </si>
  <si>
    <t>Administrative Support Proceeding</t>
  </si>
  <si>
    <t>Termination of Parental Rights</t>
  </si>
  <si>
    <t>URESA/UIFSA</t>
  </si>
  <si>
    <t>Juvenile Miscellaneous</t>
  </si>
  <si>
    <t>Misdemeanor</t>
  </si>
  <si>
    <t>Misdemeanor - sexual cases</t>
  </si>
  <si>
    <t>Municipal Ordinance Infraction</t>
  </si>
  <si>
    <t>Municipal Ordinance Arrest</t>
  </si>
  <si>
    <t>Misdemeanor-Misc</t>
  </si>
  <si>
    <t>Parking</t>
  </si>
  <si>
    <t>Small Claims</t>
  </si>
  <si>
    <t>Traffic Infractions</t>
  </si>
  <si>
    <t>Any case marked sealed</t>
  </si>
  <si>
    <t>Any expunged case</t>
  </si>
  <si>
    <t>Sealed Family Law Case</t>
  </si>
  <si>
    <t>VOR</t>
  </si>
  <si>
    <t>Jimmy Ryce Act</t>
  </si>
  <si>
    <t>Sexual Violence</t>
  </si>
  <si>
    <t>Extradition</t>
  </si>
  <si>
    <t>Non-Criminal Infractions</t>
  </si>
  <si>
    <t>Miscellaneous Firearms</t>
  </si>
  <si>
    <t>PRIVACY</t>
  </si>
  <si>
    <t>P</t>
  </si>
  <si>
    <t>S</t>
  </si>
  <si>
    <t>User Role (Subscribers)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</si>
  <si>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</si>
  <si>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</si>
  <si>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</si>
  <si>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</si>
  <si>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</si>
  <si>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</si>
  <si>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</si>
  <si>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</si>
  <si>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</si>
  <si>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</si>
  <si>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</si>
  <si>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</si>
  <si>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</si>
  <si>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</si>
  <si>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</si>
  <si>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</si>
  <si>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</si>
  <si>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Any case that has an EXPUNGED Privacy at the case level</t>
  </si>
  <si>
    <t>Any case that has a SEALED Privacy at the case level</t>
  </si>
  <si>
    <t>Case by case basis giving Party/Attorney access</t>
  </si>
  <si>
    <t>REQ = Must REQUEST the VOR before being permitted to view the document</t>
  </si>
  <si>
    <t>AAAAAD+Zv4M=</t>
  </si>
  <si>
    <t>AAAAAD+Zv4Q=</t>
  </si>
  <si>
    <t>Circuit Civil - Trusts (Pre 2010)</t>
  </si>
  <si>
    <t>Domestic Relations Adoption (FINAL)</t>
  </si>
  <si>
    <t>DR Adoption (while open and pending)</t>
  </si>
  <si>
    <t>Access Level Descriptions</t>
  </si>
  <si>
    <t>VOR is at the case level</t>
  </si>
  <si>
    <t>Domestic Relations - Paternity -sealed</t>
  </si>
  <si>
    <t>§984.06(3), F.S.</t>
  </si>
  <si>
    <t>§742.011, F.S.; §742.091, F.S.; §742.16(9), F.S.; §742.031(1), F.S. &amp; §28.2221(5)(a), F.S.</t>
  </si>
  <si>
    <t xml:space="preserve">Rule 2.420(d)(1)(B)(vi); §382.025(1), F.S.; §382.0195(1), F.S.&amp; §28.2221(5)(a), F.S. </t>
  </si>
  <si>
    <t xml:space="preserve">Rule 2.420(d); Chapter 119, F.S. &amp; §28.2221(5)(a), F.S. </t>
  </si>
  <si>
    <t xml:space="preserve">§409.2563(2)(d), F.S. &amp; §28.2221(5)(a), F.S. </t>
  </si>
  <si>
    <t>Circuit Civil Private (Sexual Abuse &amp; Medical Malpractice</t>
  </si>
  <si>
    <t>Rule 2.420(d)(1)(B)(xiii); §119.071(2)(h), F.S.; §119.0714(1)(h), F.S. &amp; §28.2221(5)(a), F.S.</t>
  </si>
  <si>
    <t>Rule 2.420(d); §39.0132(3)&amp;(4)(a), F.S.</t>
  </si>
  <si>
    <t xml:space="preserve">Rule 2.420(d); Chapter 119, F.S. &amp; §790.065(4), F.S. </t>
  </si>
  <si>
    <t>Rule 2.420(d) &amp; Chapter 119, F.S.</t>
  </si>
  <si>
    <t xml:space="preserve">Rule 2.420(d) &amp; Chapter 119, F.S. </t>
  </si>
  <si>
    <t>Rule 2.420(d)(1)(B); Chapter 119, F.S. &amp; §28.2221(5)(a), F.S.</t>
  </si>
  <si>
    <t>Rule 2.420</t>
  </si>
  <si>
    <t>§63.162(1)(2), F.S. &amp; §63.022(4)(i), F.S.</t>
  </si>
  <si>
    <t>§397.501, F.S.</t>
  </si>
  <si>
    <t>§985.04(1) &amp; (2), F.S. &amp; 985.045(2), F.S.</t>
  </si>
  <si>
    <t>§39.814(3) &amp; (4), F.S.</t>
  </si>
  <si>
    <t>§985.04(1) &amp; (2), F.S.; §985.045(2), F.S.; §985.036(1), F.S. &amp; §985.11(3), F.S.</t>
  </si>
  <si>
    <t>Probate Miscellaneous</t>
  </si>
  <si>
    <t>Applicable rules and statutes</t>
  </si>
  <si>
    <t>Rule 2.420(d); Chapter 119, F.S.; § 394.921(1)&amp;(2), F.S.</t>
  </si>
  <si>
    <t>Rule 2.420(d) &amp; (f), Chapter 119.071(2)(h)1 (b) or (c), F.S. &amp; §784.046(4), F.S.</t>
  </si>
  <si>
    <t>***VOR Statute List (F.S.):</t>
  </si>
  <si>
    <t xml:space="preserve">***Viewable on Request (VOR) - to ensure that information is properly removed prior to public access, some case types and document types have a special electronic security called viewable on request. Selecting an image of a court document in cases or documents coded viewable on request will not allow the user to view the record at that point. Instead, a request is generated to a clerk, who performs a second examination of the document to remove personal identification information and information about the victims of sexual or child abuse crimes. After the clerk has completed, the requestor then receives a notice that the document is available for viewing. Once a document has been requested and reviewed, it is available for all future access without requiring a request/review. </t>
  </si>
  <si>
    <t>Parental Notice of Abortion</t>
  </si>
  <si>
    <t>Rule 2.420(d)</t>
  </si>
  <si>
    <t xml:space="preserve">Rule 2.420(d) &amp; (f) </t>
  </si>
  <si>
    <t>Rule 2.420(d) &amp; Rule 1.210</t>
  </si>
  <si>
    <r>
      <t>Rule 2.420(d)</t>
    </r>
    <r>
      <rPr>
        <sz val="10"/>
        <rFont val="Arial"/>
        <family val="2"/>
      </rPr>
      <t xml:space="preserve"> &amp; Rule 1.210</t>
    </r>
  </si>
  <si>
    <t xml:space="preserve">Rule 2.420(d) &amp; Rule 1.210 </t>
  </si>
  <si>
    <t>Rule 2.410; §28.2221(5)(a), F.S.</t>
  </si>
  <si>
    <t>Rule 2.420(d) &amp; (f)</t>
  </si>
  <si>
    <r>
      <t>Rule 2.420(d);</t>
    </r>
    <r>
      <rPr>
        <sz val="10"/>
        <rFont val="Arial"/>
        <family val="2"/>
      </rPr>
      <t xml:space="preserve"> §742.011, F.S. &amp; §28.2221(5)(a), F.S.</t>
    </r>
  </si>
  <si>
    <t>§68.07, F.S. &amp; §28.2221(5)(a), F.S.</t>
  </si>
  <si>
    <r>
      <t>Rule 2.420(d);</t>
    </r>
    <r>
      <rPr>
        <sz val="10"/>
        <rFont val="Arial"/>
        <family val="2"/>
      </rPr>
      <t xml:space="preserve"> §28.2221(5)(a), F.S.&amp; §61.043(1), F.S. </t>
    </r>
  </si>
  <si>
    <t xml:space="preserve">Rule 2.420(d)(1)(B)(xii); §741.30(8)(c)5b, F.S. &amp; §28.2221(5)(a), F.S. </t>
  </si>
  <si>
    <t>Rule 2.420(d) &amp; §28.2221(5)(a), F.S.</t>
  </si>
  <si>
    <t xml:space="preserve">Rule 2.420(d) </t>
  </si>
  <si>
    <t>Rule 2.420(d) &amp; (f); §119.071(2)(h), F.S.; Chs. 794, 796, 800, 827, &amp; 847, F.S.</t>
  </si>
  <si>
    <t>Rule 2.420(d)(1) &amp; §119.071(2)(h)1.b or c, F.S., Chs. 794, 796, 800, 827, &amp;  847, F.S.</t>
  </si>
  <si>
    <t>Rule 8.805(b); Rule 8.835; Rule 2.420(d)(1)(B)(vii);  §390.01114(4)(e) &amp; §390.01116</t>
  </si>
  <si>
    <t>Rule 2.420(d) &amp; §119.071(2)(h), F.S.</t>
  </si>
  <si>
    <t>Incapacity</t>
  </si>
  <si>
    <t>§744.1076, F.S. &amp; §744.3701, F.S.; &amp; 393.12, F.S.</t>
  </si>
  <si>
    <t>Key to access codes</t>
  </si>
  <si>
    <t>5. Public in Clerks' offices and registered users</t>
  </si>
  <si>
    <t>6. General Gov't and Const Officers</t>
  </si>
  <si>
    <t>11. Commercial purchasers of bulk records</t>
  </si>
  <si>
    <t>2. Florida State Attorney's Offices</t>
  </si>
  <si>
    <t>3. Attorneys of Record</t>
  </si>
  <si>
    <t>A = All but expunged, or sealed under Ch. 943</t>
  </si>
  <si>
    <t xml:space="preserve">B = All but expunged, or sealed under Ch. 943 or sealed under
      rule 2.420 </t>
  </si>
  <si>
    <t>C = All but expunged, or sealed under Ch. 943 and sealed under
      rule 2.420; or confidential</t>
  </si>
  <si>
    <t>D = All but expunged, sealed or confidential; record images
       viewable upon request</t>
  </si>
  <si>
    <t>E = Case number, party names, dockets only</t>
  </si>
  <si>
    <t>F = Case number and party names only</t>
  </si>
  <si>
    <t>G = Case number only</t>
  </si>
  <si>
    <t>H = No access</t>
  </si>
  <si>
    <t>1. Judges and authorized  court and clerk's office personnel (Internal access by authorization)</t>
  </si>
  <si>
    <t>8. Certified law enforcement officers of federal and Florida state and local law enforcement agencies, Florida Department of Corrections, and their authorized users</t>
  </si>
  <si>
    <r>
      <t>§744.1076, F.S.; §744.3701, F.S. &amp;</t>
    </r>
    <r>
      <rPr>
        <sz val="10"/>
        <color indexed="10"/>
        <rFont val="Arial"/>
        <family val="2"/>
      </rPr>
      <t xml:space="preserve"> §</t>
    </r>
    <r>
      <rPr>
        <sz val="10"/>
        <color indexed="10"/>
        <rFont val="Arial"/>
        <family val="2"/>
      </rPr>
      <t>744.2003, F.S.</t>
    </r>
  </si>
  <si>
    <t>§744.1076, F.S.; §744.3701, F.S. &amp; §744.2003, F.S.</t>
  </si>
  <si>
    <r>
      <rPr>
        <sz val="10"/>
        <color indexed="10"/>
        <rFont val="Arial"/>
        <family val="2"/>
      </rPr>
      <t xml:space="preserve">Rule 5.900; </t>
    </r>
    <r>
      <rPr>
        <sz val="10"/>
        <rFont val="Arial"/>
        <family val="2"/>
      </rPr>
      <t>§394.4615</t>
    </r>
    <r>
      <rPr>
        <sz val="10"/>
        <color indexed="10"/>
        <rFont val="Arial"/>
        <family val="2"/>
      </rPr>
      <t>, F.S.; §393.11, F.S.; §765.105, F.S.; §916.107(3)(a), §415.1051, F.S. &amp; §394.459(8)</t>
    </r>
  </si>
  <si>
    <t>Rule 5.900; §394.4615, F.S.; §393.11, F.S.; §765.105, F.S.; §916.107(3)(a), §415.1051, F.S. &amp; §394.459(8)</t>
  </si>
  <si>
    <t>Tuberculosis/STD Treatment/Other Confidential</t>
  </si>
  <si>
    <t>§392.55, F.S. &amp; §384.27, F.S.</t>
  </si>
  <si>
    <t>Guardianship Miscellaneous/Professional Guardian</t>
  </si>
  <si>
    <r>
      <t>Financial Miscellaneous</t>
    </r>
    <r>
      <rPr>
        <sz val="10"/>
        <rFont val="Arial"/>
        <family val="2"/>
      </rPr>
      <t xml:space="preserve"> [Deactivated]</t>
    </r>
  </si>
  <si>
    <r>
      <t>Baker Act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and Mental Health Miscellaneous</t>
    </r>
  </si>
  <si>
    <r>
      <t xml:space="preserve">Substance Abuse - </t>
    </r>
    <r>
      <rPr>
        <sz val="10"/>
        <rFont val="Arial"/>
        <family val="2"/>
      </rPr>
      <t>Assessment/Treatment</t>
    </r>
  </si>
  <si>
    <r>
      <t>Substance Abuse cases filed pre 10-1-2010 disabled</t>
    </r>
    <r>
      <rPr>
        <sz val="10"/>
        <rFont val="Arial"/>
        <family val="2"/>
      </rPr>
      <t xml:space="preserve"> [Deactivated]</t>
    </r>
  </si>
  <si>
    <t xml:space="preserve">Rule 2.420(d) &amp; §744.3701, F.S. </t>
  </si>
  <si>
    <t>Rule 2.420(d); §397.501(7), F.S. &amp; §397.6760, F.S.</t>
  </si>
  <si>
    <r>
      <t xml:space="preserve"> Access Security Matrix
</t>
    </r>
    <r>
      <rPr>
        <sz val="10"/>
        <rFont val="Arial"/>
        <family val="2"/>
      </rPr>
      <t>(April 2018 version 8)</t>
    </r>
  </si>
  <si>
    <t>4. Parties</t>
  </si>
  <si>
    <t>7. General public (without registration agreement)</t>
  </si>
  <si>
    <t>10. Florida School Districts (Truancy)</t>
  </si>
  <si>
    <r>
      <t>9. Florida Attorney General's Office and the Florida</t>
    </r>
    <r>
      <rPr>
        <b/>
        <strike/>
        <sz val="9"/>
        <rFont val="Arial"/>
        <family val="2"/>
      </rPr>
      <t xml:space="preserve"> </t>
    </r>
    <r>
      <rPr>
        <b/>
        <sz val="9"/>
        <rFont val="Arial"/>
        <family val="2"/>
      </rPr>
      <t>Department of Children and Families</t>
    </r>
  </si>
  <si>
    <t>12. Florida Public Defender's Offices 
(institutional access only)</t>
  </si>
  <si>
    <t>Guardianship/Guardian Advocate (Developmental Disabilities)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</si>
</sst>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trike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u val="single"/>
      <sz val="10"/>
      <color rgb="FF0000FF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8" tint="0.5999900102615356"/>
      </patternFill>
    </fill>
    <fill>
      <patternFill patternType="gray125">
        <bgColor indexed="22"/>
      </patternFill>
    </fill>
    <fill>
      <patternFill patternType="lightGray"/>
    </fill>
    <fill>
      <patternFill patternType="lightGray">
        <bgColor theme="8" tint="0.5999900102615356"/>
      </patternFill>
    </fill>
    <fill>
      <patternFill patternType="lightGray"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21" fillId="23" borderId="1" applyNumberFormat="0" applyAlignment="0" applyProtection="0"/>
    <xf numFmtId="0" fontId="39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6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27" borderId="7" applyNumberFormat="0" applyFont="0" applyAlignment="0" applyProtection="0"/>
    <xf numFmtId="0" fontId="31" fillId="23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8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0" xfId="53" applyAlignment="1" applyProtection="1">
      <alignment/>
      <protection/>
    </xf>
    <xf numFmtId="0" fontId="0" fillId="0" borderId="11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28" borderId="12" xfId="0" applyFont="1" applyFill="1" applyBorder="1" applyAlignment="1">
      <alignment wrapText="1"/>
    </xf>
    <xf numFmtId="0" fontId="3" fillId="28" borderId="11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0" fillId="2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/>
    </xf>
    <xf numFmtId="0" fontId="5" fillId="23" borderId="11" xfId="0" applyFont="1" applyFill="1" applyBorder="1" applyAlignment="1">
      <alignment horizontal="center" vertical="center"/>
    </xf>
    <xf numFmtId="0" fontId="0" fillId="29" borderId="11" xfId="0" applyFont="1" applyFill="1" applyBorder="1" applyAlignment="1">
      <alignment/>
    </xf>
    <xf numFmtId="0" fontId="0" fillId="29" borderId="11" xfId="0" applyFont="1" applyFill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4" fillId="0" borderId="0" xfId="0" applyFont="1" applyFill="1" applyBorder="1" applyAlignment="1">
      <alignment wrapText="1"/>
    </xf>
    <xf numFmtId="0" fontId="0" fillId="30" borderId="11" xfId="0" applyFont="1" applyFill="1" applyBorder="1" applyAlignment="1">
      <alignment horizontal="center" vertical="center"/>
    </xf>
    <xf numFmtId="0" fontId="0" fillId="0" borderId="11" xfId="57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1" borderId="17" xfId="0" applyFont="1" applyFill="1" applyBorder="1" applyAlignment="1">
      <alignment/>
    </xf>
    <xf numFmtId="0" fontId="0" fillId="31" borderId="17" xfId="0" applyFont="1" applyFill="1" applyBorder="1" applyAlignment="1">
      <alignment/>
    </xf>
    <xf numFmtId="0" fontId="0" fillId="31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vertical="top" wrapText="1"/>
    </xf>
    <xf numFmtId="0" fontId="0" fillId="32" borderId="11" xfId="0" applyFont="1" applyFill="1" applyBorder="1" applyAlignment="1">
      <alignment wrapText="1"/>
    </xf>
    <xf numFmtId="0" fontId="0" fillId="32" borderId="11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8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45" fillId="0" borderId="18" xfId="53" applyFont="1" applyBorder="1" applyAlignment="1" applyProtection="1">
      <alignment/>
      <protection/>
    </xf>
    <xf numFmtId="0" fontId="45" fillId="0" borderId="17" xfId="0" applyFont="1" applyFill="1" applyBorder="1" applyAlignment="1">
      <alignment/>
    </xf>
    <xf numFmtId="0" fontId="45" fillId="32" borderId="17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5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0" fontId="0" fillId="9" borderId="11" xfId="0" applyFont="1" applyFill="1" applyBorder="1" applyAlignment="1">
      <alignment vertical="center"/>
    </xf>
    <xf numFmtId="0" fontId="0" fillId="9" borderId="11" xfId="0" applyFont="1" applyFill="1" applyBorder="1" applyAlignment="1">
      <alignment/>
    </xf>
    <xf numFmtId="0" fontId="0" fillId="11" borderId="11" xfId="0" applyFont="1" applyFill="1" applyBorder="1" applyAlignment="1">
      <alignment horizontal="center" vertical="center"/>
    </xf>
    <xf numFmtId="0" fontId="0" fillId="31" borderId="11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31" borderId="11" xfId="0" applyFont="1" applyFill="1" applyBorder="1" applyAlignment="1">
      <alignment vertical="center"/>
    </xf>
    <xf numFmtId="0" fontId="5" fillId="31" borderId="11" xfId="0" applyFont="1" applyFill="1" applyBorder="1" applyAlignment="1">
      <alignment/>
    </xf>
    <xf numFmtId="0" fontId="0" fillId="31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14" fillId="1" borderId="11" xfId="0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1" borderId="1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1" borderId="11" xfId="58" applyFont="1" applyFill="1" applyBorder="1" applyAlignment="1">
      <alignment horizontal="center" vertical="center"/>
      <protection/>
    </xf>
    <xf numFmtId="0" fontId="14" fillId="1" borderId="11" xfId="57" applyFont="1" applyFill="1" applyBorder="1" applyAlignment="1">
      <alignment horizontal="center" vertical="center"/>
      <protection/>
    </xf>
    <xf numFmtId="0" fontId="14" fillId="36" borderId="11" xfId="0" applyFont="1" applyFill="1" applyBorder="1" applyAlignment="1">
      <alignment/>
    </xf>
    <xf numFmtId="0" fontId="14" fillId="37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14" fillId="36" borderId="11" xfId="58" applyFont="1" applyFill="1" applyBorder="1" applyAlignment="1">
      <alignment horizontal="center" vertical="center"/>
      <protection/>
    </xf>
    <xf numFmtId="0" fontId="14" fillId="36" borderId="11" xfId="57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wrapText="1"/>
    </xf>
    <xf numFmtId="0" fontId="0" fillId="0" borderId="11" xfId="0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14" fillId="32" borderId="2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6" fillId="0" borderId="0" xfId="0" applyFont="1" applyAlignment="1">
      <alignment/>
    </xf>
    <xf numFmtId="0" fontId="10" fillId="39" borderId="0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11" borderId="17" xfId="0" applyFont="1" applyFill="1" applyBorder="1" applyAlignment="1">
      <alignment horizontal="center" vertical="center" textRotation="90" wrapText="1"/>
    </xf>
    <xf numFmtId="0" fontId="4" fillId="11" borderId="12" xfId="0" applyFont="1" applyFill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4" fillId="23" borderId="17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20" xfId="0" applyFont="1" applyFill="1" applyBorder="1" applyAlignment="1">
      <alignment horizontal="center" vertical="center"/>
    </xf>
    <xf numFmtId="0" fontId="4" fillId="30" borderId="17" xfId="0" applyFont="1" applyFill="1" applyBorder="1" applyAlignment="1">
      <alignment horizontal="center" vertical="center" textRotation="90" wrapText="1"/>
    </xf>
    <xf numFmtId="0" fontId="4" fillId="40" borderId="13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4" fillId="40" borderId="21" xfId="0" applyFont="1" applyFill="1" applyBorder="1" applyAlignment="1">
      <alignment horizontal="center" vertical="center" wrapText="1"/>
    </xf>
    <xf numFmtId="0" fontId="5" fillId="40" borderId="21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8" borderId="11" xfId="0" applyFont="1" applyFill="1" applyBorder="1" applyAlignment="1">
      <alignment horizontal="center" wrapText="1"/>
    </xf>
    <xf numFmtId="0" fontId="1" fillId="8" borderId="14" xfId="0" applyFont="1" applyFill="1" applyBorder="1" applyAlignment="1">
      <alignment horizontal="center" wrapText="1"/>
    </xf>
    <xf numFmtId="0" fontId="1" fillId="40" borderId="13" xfId="0" applyFont="1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wrapText="1"/>
    </xf>
    <xf numFmtId="0" fontId="4" fillId="8" borderId="1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2190750</xdr:colOff>
      <xdr:row>26</xdr:row>
      <xdr:rowOff>0</xdr:rowOff>
    </xdr:from>
    <xdr:ext cx="7067550" cy="3219450"/>
    <xdr:sp>
      <xdr:nvSpPr>
        <xdr:cNvPr id="1" name="Rectangle 1"/>
        <xdr:cNvSpPr>
          <a:spLocks/>
        </xdr:cNvSpPr>
      </xdr:nvSpPr>
      <xdr:spPr>
        <a:xfrm>
          <a:off x="2190750" y="5210175"/>
          <a:ext cx="7067550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2514600</xdr:colOff>
      <xdr:row>26</xdr:row>
      <xdr:rowOff>0</xdr:rowOff>
    </xdr:from>
    <xdr:ext cx="7077075" cy="3219450"/>
    <xdr:sp>
      <xdr:nvSpPr>
        <xdr:cNvPr id="2" name="Rectangle 2"/>
        <xdr:cNvSpPr>
          <a:spLocks/>
        </xdr:cNvSpPr>
      </xdr:nvSpPr>
      <xdr:spPr>
        <a:xfrm>
          <a:off x="2514600" y="5210175"/>
          <a:ext cx="7077075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1" sqref="A1:Q2"/>
    </sheetView>
  </sheetViews>
  <sheetFormatPr defaultColWidth="9.140625" defaultRowHeight="12.75"/>
  <cols>
    <col min="1" max="1" width="55.57421875" style="24" customWidth="1"/>
    <col min="2" max="2" width="8.8515625" style="10" bestFit="1" customWidth="1"/>
    <col min="3" max="9" width="4.421875" style="24" customWidth="1"/>
    <col min="10" max="10" width="9.140625" style="24" customWidth="1"/>
    <col min="11" max="11" width="7.28125" style="24" customWidth="1"/>
    <col min="12" max="14" width="4.421875" style="24" customWidth="1"/>
    <col min="15" max="15" width="6.00390625" style="24" bestFit="1" customWidth="1"/>
    <col min="16" max="16" width="61.7109375" style="10" hidden="1" customWidth="1"/>
    <col min="17" max="17" width="78.421875" style="10" customWidth="1"/>
    <col min="18" max="16384" width="9.140625" style="10" customWidth="1"/>
  </cols>
  <sheetData>
    <row r="1" spans="1:17" ht="13.5" customHeight="1">
      <c r="A1" s="92" t="s">
        <v>186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33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2" customHeight="1">
      <c r="A3" s="88"/>
      <c r="B3" s="61"/>
      <c r="C3" s="112" t="s">
        <v>83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89"/>
      <c r="P3" s="42"/>
      <c r="Q3" s="90"/>
    </row>
    <row r="4" spans="1:17" ht="11.25" customHeight="1">
      <c r="A4" s="95" t="s">
        <v>157</v>
      </c>
      <c r="B4" s="51"/>
      <c r="C4" s="98" t="s">
        <v>171</v>
      </c>
      <c r="D4" s="100" t="s">
        <v>161</v>
      </c>
      <c r="E4" s="103" t="s">
        <v>162</v>
      </c>
      <c r="F4" s="100" t="s">
        <v>187</v>
      </c>
      <c r="G4" s="103" t="s">
        <v>158</v>
      </c>
      <c r="H4" s="100" t="s">
        <v>159</v>
      </c>
      <c r="I4" s="103" t="s">
        <v>188</v>
      </c>
      <c r="J4" s="100" t="s">
        <v>172</v>
      </c>
      <c r="K4" s="103" t="s">
        <v>190</v>
      </c>
      <c r="L4" s="100" t="s">
        <v>189</v>
      </c>
      <c r="M4" s="113" t="s">
        <v>160</v>
      </c>
      <c r="N4" s="108" t="s">
        <v>191</v>
      </c>
      <c r="O4" s="43"/>
      <c r="P4" s="44" t="s">
        <v>135</v>
      </c>
      <c r="Q4" s="44" t="s">
        <v>135</v>
      </c>
    </row>
    <row r="5" spans="1:17" ht="11.25" customHeight="1">
      <c r="A5" s="96"/>
      <c r="B5" s="52"/>
      <c r="C5" s="98"/>
      <c r="D5" s="101"/>
      <c r="E5" s="104"/>
      <c r="F5" s="104"/>
      <c r="G5" s="106"/>
      <c r="H5" s="104"/>
      <c r="I5" s="104"/>
      <c r="J5" s="104"/>
      <c r="K5" s="104"/>
      <c r="L5" s="104"/>
      <c r="M5" s="104"/>
      <c r="N5" s="104"/>
      <c r="O5" s="43"/>
      <c r="P5" s="45" t="s">
        <v>34</v>
      </c>
      <c r="Q5" s="45" t="s">
        <v>34</v>
      </c>
    </row>
    <row r="6" spans="1:17" ht="11.25" customHeight="1">
      <c r="A6" s="97"/>
      <c r="B6" s="53"/>
      <c r="C6" s="98"/>
      <c r="D6" s="101"/>
      <c r="E6" s="104"/>
      <c r="F6" s="104"/>
      <c r="G6" s="106"/>
      <c r="H6" s="104"/>
      <c r="I6" s="104"/>
      <c r="J6" s="104"/>
      <c r="K6" s="104"/>
      <c r="L6" s="104"/>
      <c r="M6" s="104"/>
      <c r="N6" s="104"/>
      <c r="O6" s="43"/>
      <c r="P6" s="46" t="s">
        <v>111</v>
      </c>
      <c r="Q6" s="46" t="s">
        <v>111</v>
      </c>
    </row>
    <row r="7" spans="1:17" ht="14.25" customHeight="1">
      <c r="A7" s="47" t="s">
        <v>163</v>
      </c>
      <c r="B7" s="54"/>
      <c r="C7" s="98"/>
      <c r="D7" s="101"/>
      <c r="E7" s="104"/>
      <c r="F7" s="104"/>
      <c r="G7" s="106"/>
      <c r="H7" s="104"/>
      <c r="I7" s="104"/>
      <c r="J7" s="104"/>
      <c r="K7" s="104"/>
      <c r="L7" s="104"/>
      <c r="M7" s="104"/>
      <c r="N7" s="104"/>
      <c r="O7" s="43"/>
      <c r="P7" s="109" t="s">
        <v>136</v>
      </c>
      <c r="Q7" s="109" t="s">
        <v>136</v>
      </c>
    </row>
    <row r="8" spans="1:17" ht="27" customHeight="1">
      <c r="A8" s="48" t="s">
        <v>164</v>
      </c>
      <c r="B8" s="54"/>
      <c r="C8" s="98"/>
      <c r="D8" s="101"/>
      <c r="E8" s="104"/>
      <c r="F8" s="104"/>
      <c r="G8" s="106"/>
      <c r="H8" s="104"/>
      <c r="I8" s="104"/>
      <c r="J8" s="104"/>
      <c r="K8" s="104"/>
      <c r="L8" s="104"/>
      <c r="M8" s="104"/>
      <c r="N8" s="104"/>
      <c r="O8" s="43"/>
      <c r="P8" s="110"/>
      <c r="Q8" s="110"/>
    </row>
    <row r="9" spans="1:17" ht="27" customHeight="1">
      <c r="A9" s="49" t="s">
        <v>165</v>
      </c>
      <c r="B9" s="54"/>
      <c r="C9" s="98"/>
      <c r="D9" s="101"/>
      <c r="E9" s="104"/>
      <c r="F9" s="104"/>
      <c r="G9" s="106"/>
      <c r="H9" s="104"/>
      <c r="I9" s="104"/>
      <c r="J9" s="104"/>
      <c r="K9" s="104"/>
      <c r="L9" s="104"/>
      <c r="M9" s="104"/>
      <c r="N9" s="104"/>
      <c r="O9" s="43"/>
      <c r="P9" s="110"/>
      <c r="Q9" s="110"/>
    </row>
    <row r="10" spans="1:17" ht="27" customHeight="1">
      <c r="A10" s="49" t="s">
        <v>166</v>
      </c>
      <c r="B10" s="54"/>
      <c r="C10" s="98"/>
      <c r="D10" s="101"/>
      <c r="E10" s="104"/>
      <c r="F10" s="104"/>
      <c r="G10" s="106"/>
      <c r="H10" s="104"/>
      <c r="I10" s="104"/>
      <c r="J10" s="104"/>
      <c r="K10" s="104"/>
      <c r="L10" s="104"/>
      <c r="M10" s="104"/>
      <c r="N10" s="104"/>
      <c r="O10" s="43"/>
      <c r="P10" s="110"/>
      <c r="Q10" s="110"/>
    </row>
    <row r="11" spans="1:17" ht="14.25" customHeight="1">
      <c r="A11" s="50" t="s">
        <v>167</v>
      </c>
      <c r="B11" s="54"/>
      <c r="C11" s="98"/>
      <c r="D11" s="101"/>
      <c r="E11" s="104"/>
      <c r="F11" s="104"/>
      <c r="G11" s="106"/>
      <c r="H11" s="104"/>
      <c r="I11" s="104"/>
      <c r="J11" s="104"/>
      <c r="K11" s="104"/>
      <c r="L11" s="104"/>
      <c r="M11" s="104"/>
      <c r="N11" s="104"/>
      <c r="O11" s="43"/>
      <c r="P11" s="110"/>
      <c r="Q11" s="110"/>
    </row>
    <row r="12" spans="1:17" ht="14.25" customHeight="1">
      <c r="A12" s="50" t="s">
        <v>168</v>
      </c>
      <c r="B12" s="54"/>
      <c r="C12" s="98"/>
      <c r="D12" s="101"/>
      <c r="E12" s="104"/>
      <c r="F12" s="104"/>
      <c r="G12" s="106"/>
      <c r="H12" s="104"/>
      <c r="I12" s="104"/>
      <c r="J12" s="104"/>
      <c r="K12" s="104"/>
      <c r="L12" s="104"/>
      <c r="M12" s="104"/>
      <c r="N12" s="104"/>
      <c r="O12" s="43"/>
      <c r="P12" s="110"/>
      <c r="Q12" s="110"/>
    </row>
    <row r="13" spans="1:17" ht="14.25" customHeight="1">
      <c r="A13" s="50" t="s">
        <v>169</v>
      </c>
      <c r="B13" s="55"/>
      <c r="C13" s="98"/>
      <c r="D13" s="101"/>
      <c r="E13" s="104"/>
      <c r="F13" s="104"/>
      <c r="G13" s="106"/>
      <c r="H13" s="104"/>
      <c r="I13" s="104"/>
      <c r="J13" s="104"/>
      <c r="K13" s="104"/>
      <c r="L13" s="104"/>
      <c r="M13" s="104"/>
      <c r="N13" s="104"/>
      <c r="O13" s="43"/>
      <c r="P13" s="110"/>
      <c r="Q13" s="110"/>
    </row>
    <row r="14" spans="1:17" ht="14.25" customHeight="1">
      <c r="A14" s="50" t="s">
        <v>170</v>
      </c>
      <c r="B14" s="54"/>
      <c r="C14" s="98"/>
      <c r="D14" s="101"/>
      <c r="E14" s="104"/>
      <c r="F14" s="104"/>
      <c r="G14" s="106"/>
      <c r="H14" s="104"/>
      <c r="I14" s="104"/>
      <c r="J14" s="104"/>
      <c r="K14" s="104"/>
      <c r="L14" s="104"/>
      <c r="M14" s="104"/>
      <c r="N14" s="104"/>
      <c r="O14" s="43"/>
      <c r="P14" s="110"/>
      <c r="Q14" s="110"/>
    </row>
    <row r="15" spans="1:17" ht="14.25" customHeight="1">
      <c r="A15" s="91" t="s">
        <v>33</v>
      </c>
      <c r="B15" s="56"/>
      <c r="C15" s="98"/>
      <c r="D15" s="101"/>
      <c r="E15" s="104"/>
      <c r="F15" s="104"/>
      <c r="G15" s="106"/>
      <c r="H15" s="104"/>
      <c r="I15" s="104"/>
      <c r="J15" s="104"/>
      <c r="K15" s="104"/>
      <c r="L15" s="104"/>
      <c r="M15" s="104"/>
      <c r="N15" s="104"/>
      <c r="O15" s="43"/>
      <c r="P15" s="110"/>
      <c r="Q15" s="110"/>
    </row>
    <row r="16" spans="1:17" ht="14.25" customHeight="1">
      <c r="A16" s="57"/>
      <c r="B16" s="51"/>
      <c r="C16" s="98"/>
      <c r="D16" s="101"/>
      <c r="E16" s="104"/>
      <c r="F16" s="104"/>
      <c r="G16" s="106"/>
      <c r="H16" s="104"/>
      <c r="I16" s="104"/>
      <c r="J16" s="104"/>
      <c r="K16" s="104"/>
      <c r="L16" s="104"/>
      <c r="M16" s="104"/>
      <c r="N16" s="104"/>
      <c r="O16" s="43"/>
      <c r="P16" s="110"/>
      <c r="Q16" s="110"/>
    </row>
    <row r="17" spans="1:17" ht="14.25" customHeight="1">
      <c r="A17" s="58"/>
      <c r="B17" s="54"/>
      <c r="C17" s="98"/>
      <c r="D17" s="101"/>
      <c r="E17" s="104"/>
      <c r="F17" s="104"/>
      <c r="G17" s="106"/>
      <c r="H17" s="104"/>
      <c r="I17" s="104"/>
      <c r="J17" s="104"/>
      <c r="K17" s="104"/>
      <c r="L17" s="104"/>
      <c r="M17" s="104"/>
      <c r="N17" s="104"/>
      <c r="O17" s="43"/>
      <c r="P17" s="110"/>
      <c r="Q17" s="110"/>
    </row>
    <row r="18" spans="1:17" ht="14.25" customHeight="1">
      <c r="A18" s="59"/>
      <c r="B18" s="60"/>
      <c r="C18" s="99"/>
      <c r="D18" s="102"/>
      <c r="E18" s="105"/>
      <c r="F18" s="105"/>
      <c r="G18" s="107"/>
      <c r="H18" s="105"/>
      <c r="I18" s="105"/>
      <c r="J18" s="105"/>
      <c r="K18" s="105"/>
      <c r="L18" s="105"/>
      <c r="M18" s="105"/>
      <c r="N18" s="105"/>
      <c r="O18" s="43"/>
      <c r="P18" s="111"/>
      <c r="Q18" s="111"/>
    </row>
    <row r="19" spans="1:17" ht="19.5" customHeight="1">
      <c r="A19" s="29" t="s">
        <v>36</v>
      </c>
      <c r="B19" s="30" t="s">
        <v>80</v>
      </c>
      <c r="C19" s="67"/>
      <c r="D19" s="17"/>
      <c r="E19" s="25"/>
      <c r="F19" s="17"/>
      <c r="G19" s="25"/>
      <c r="H19" s="17"/>
      <c r="I19" s="25"/>
      <c r="J19" s="17"/>
      <c r="K19" s="25"/>
      <c r="L19" s="17"/>
      <c r="M19" s="35"/>
      <c r="N19" s="11"/>
      <c r="O19" s="30" t="s">
        <v>35</v>
      </c>
      <c r="P19" s="30"/>
      <c r="Q19" s="30" t="s">
        <v>132</v>
      </c>
    </row>
    <row r="20" spans="1:17" ht="12.75" customHeight="1">
      <c r="A20" s="11" t="s">
        <v>37</v>
      </c>
      <c r="B20" s="17" t="s">
        <v>81</v>
      </c>
      <c r="C20" s="65" t="s">
        <v>9</v>
      </c>
      <c r="D20" s="15" t="s">
        <v>10</v>
      </c>
      <c r="E20" s="14" t="s">
        <v>10</v>
      </c>
      <c r="F20" s="15" t="s">
        <v>11</v>
      </c>
      <c r="G20" s="14" t="s">
        <v>12</v>
      </c>
      <c r="H20" s="15" t="s">
        <v>11</v>
      </c>
      <c r="I20" s="14" t="s">
        <v>12</v>
      </c>
      <c r="J20" s="15" t="s">
        <v>10</v>
      </c>
      <c r="K20" s="14" t="s">
        <v>11</v>
      </c>
      <c r="L20" s="15" t="s">
        <v>11</v>
      </c>
      <c r="M20" s="14" t="s">
        <v>12</v>
      </c>
      <c r="N20" s="40" t="s">
        <v>10</v>
      </c>
      <c r="O20" s="17" t="s">
        <v>84</v>
      </c>
      <c r="P20" s="17"/>
      <c r="Q20" s="17" t="s">
        <v>139</v>
      </c>
    </row>
    <row r="21" spans="1:17" ht="12.75" customHeight="1">
      <c r="A21" s="66" t="s">
        <v>38</v>
      </c>
      <c r="B21" s="66" t="s">
        <v>74</v>
      </c>
      <c r="C21" s="65" t="s">
        <v>9</v>
      </c>
      <c r="D21" s="15" t="s">
        <v>10</v>
      </c>
      <c r="E21" s="36" t="s">
        <v>10</v>
      </c>
      <c r="F21" s="15" t="s">
        <v>12</v>
      </c>
      <c r="G21" s="36" t="s">
        <v>12</v>
      </c>
      <c r="H21" s="15" t="s">
        <v>12</v>
      </c>
      <c r="I21" s="36" t="s">
        <v>12</v>
      </c>
      <c r="J21" s="15" t="s">
        <v>10</v>
      </c>
      <c r="K21" s="36" t="s">
        <v>12</v>
      </c>
      <c r="L21" s="15" t="s">
        <v>12</v>
      </c>
      <c r="M21" s="36" t="s">
        <v>12</v>
      </c>
      <c r="N21" s="40" t="s">
        <v>10</v>
      </c>
      <c r="O21" s="66" t="s">
        <v>84</v>
      </c>
      <c r="P21" s="66"/>
      <c r="Q21" s="66" t="s">
        <v>151</v>
      </c>
    </row>
    <row r="22" spans="1:17" ht="12.75" customHeight="1">
      <c r="A22" s="11" t="s">
        <v>39</v>
      </c>
      <c r="B22" s="17" t="s">
        <v>81</v>
      </c>
      <c r="C22" s="65" t="s">
        <v>9</v>
      </c>
      <c r="D22" s="15" t="s">
        <v>10</v>
      </c>
      <c r="E22" s="14" t="s">
        <v>10</v>
      </c>
      <c r="F22" s="15" t="s">
        <v>10</v>
      </c>
      <c r="G22" s="14" t="s">
        <v>12</v>
      </c>
      <c r="H22" s="15" t="s">
        <v>11</v>
      </c>
      <c r="I22" s="14" t="s">
        <v>12</v>
      </c>
      <c r="J22" s="15" t="s">
        <v>10</v>
      </c>
      <c r="K22" s="14" t="s">
        <v>11</v>
      </c>
      <c r="L22" s="15" t="s">
        <v>11</v>
      </c>
      <c r="M22" s="14" t="s">
        <v>12</v>
      </c>
      <c r="N22" s="40" t="s">
        <v>11</v>
      </c>
      <c r="O22" s="17" t="s">
        <v>84</v>
      </c>
      <c r="P22" s="17"/>
      <c r="Q22" s="17" t="s">
        <v>138</v>
      </c>
    </row>
    <row r="23" spans="1:17" ht="12.75" customHeight="1">
      <c r="A23" s="11" t="s">
        <v>40</v>
      </c>
      <c r="B23" s="17" t="s">
        <v>81</v>
      </c>
      <c r="C23" s="65" t="s">
        <v>9</v>
      </c>
      <c r="D23" s="15" t="s">
        <v>10</v>
      </c>
      <c r="E23" s="14" t="s">
        <v>10</v>
      </c>
      <c r="F23" s="15" t="s">
        <v>10</v>
      </c>
      <c r="G23" s="14" t="s">
        <v>12</v>
      </c>
      <c r="H23" s="15" t="s">
        <v>11</v>
      </c>
      <c r="I23" s="14" t="s">
        <v>12</v>
      </c>
      <c r="J23" s="15" t="s">
        <v>10</v>
      </c>
      <c r="K23" s="14" t="s">
        <v>11</v>
      </c>
      <c r="L23" s="15" t="s">
        <v>11</v>
      </c>
      <c r="M23" s="14" t="s">
        <v>12</v>
      </c>
      <c r="N23" s="40" t="s">
        <v>11</v>
      </c>
      <c r="O23" s="17" t="s">
        <v>85</v>
      </c>
      <c r="P23" s="17"/>
      <c r="Q23" s="17" t="s">
        <v>140</v>
      </c>
    </row>
    <row r="24" spans="1:17" ht="12.75" customHeight="1">
      <c r="A24" s="66" t="s">
        <v>75</v>
      </c>
      <c r="B24" s="66" t="s">
        <v>74</v>
      </c>
      <c r="C24" s="65" t="s">
        <v>9</v>
      </c>
      <c r="D24" s="15" t="s">
        <v>10</v>
      </c>
      <c r="E24" s="14" t="s">
        <v>10</v>
      </c>
      <c r="F24" s="15" t="s">
        <v>12</v>
      </c>
      <c r="G24" s="14" t="s">
        <v>12</v>
      </c>
      <c r="H24" s="15" t="s">
        <v>12</v>
      </c>
      <c r="I24" s="14" t="s">
        <v>12</v>
      </c>
      <c r="J24" s="15" t="s">
        <v>10</v>
      </c>
      <c r="K24" s="14" t="s">
        <v>12</v>
      </c>
      <c r="L24" s="15" t="s">
        <v>12</v>
      </c>
      <c r="M24" s="14" t="s">
        <v>12</v>
      </c>
      <c r="N24" s="40" t="s">
        <v>10</v>
      </c>
      <c r="O24" s="66" t="s">
        <v>85</v>
      </c>
      <c r="P24" s="66"/>
      <c r="Q24" s="66" t="s">
        <v>133</v>
      </c>
    </row>
    <row r="25" spans="1:17" ht="12.75" customHeight="1">
      <c r="A25" s="11" t="s">
        <v>41</v>
      </c>
      <c r="B25" s="17" t="s">
        <v>81</v>
      </c>
      <c r="C25" s="65" t="s">
        <v>9</v>
      </c>
      <c r="D25" s="15" t="s">
        <v>10</v>
      </c>
      <c r="E25" s="14" t="s">
        <v>10</v>
      </c>
      <c r="F25" s="15" t="s">
        <v>10</v>
      </c>
      <c r="G25" s="14" t="s">
        <v>12</v>
      </c>
      <c r="H25" s="15" t="s">
        <v>11</v>
      </c>
      <c r="I25" s="14" t="s">
        <v>12</v>
      </c>
      <c r="J25" s="15" t="s">
        <v>10</v>
      </c>
      <c r="K25" s="14" t="s">
        <v>11</v>
      </c>
      <c r="L25" s="15" t="s">
        <v>11</v>
      </c>
      <c r="M25" s="14" t="s">
        <v>12</v>
      </c>
      <c r="N25" s="40" t="s">
        <v>11</v>
      </c>
      <c r="O25" s="17" t="s">
        <v>85</v>
      </c>
      <c r="P25" s="17"/>
      <c r="Q25" s="17" t="s">
        <v>141</v>
      </c>
    </row>
    <row r="26" spans="1:17" ht="12.75" customHeight="1">
      <c r="A26" s="66" t="s">
        <v>118</v>
      </c>
      <c r="B26" s="66" t="s">
        <v>74</v>
      </c>
      <c r="C26" s="65" t="s">
        <v>9</v>
      </c>
      <c r="D26" s="15" t="s">
        <v>10</v>
      </c>
      <c r="E26" s="14" t="s">
        <v>10</v>
      </c>
      <c r="F26" s="15" t="s">
        <v>12</v>
      </c>
      <c r="G26" s="14" t="s">
        <v>12</v>
      </c>
      <c r="H26" s="15" t="s">
        <v>12</v>
      </c>
      <c r="I26" s="14" t="s">
        <v>12</v>
      </c>
      <c r="J26" s="15" t="s">
        <v>10</v>
      </c>
      <c r="K26" s="14" t="s">
        <v>12</v>
      </c>
      <c r="L26" s="15" t="s">
        <v>12</v>
      </c>
      <c r="M26" s="14" t="s">
        <v>12</v>
      </c>
      <c r="N26" s="40" t="s">
        <v>12</v>
      </c>
      <c r="O26" s="66" t="s">
        <v>85</v>
      </c>
      <c r="P26" s="66"/>
      <c r="Q26" s="66" t="s">
        <v>119</v>
      </c>
    </row>
    <row r="27" spans="1:17" ht="12.75" customHeight="1">
      <c r="A27" s="11" t="s">
        <v>107</v>
      </c>
      <c r="B27" s="17" t="s">
        <v>81</v>
      </c>
      <c r="C27" s="65" t="s">
        <v>9</v>
      </c>
      <c r="D27" s="15" t="s">
        <v>10</v>
      </c>
      <c r="E27" s="14" t="s">
        <v>10</v>
      </c>
      <c r="F27" s="15" t="s">
        <v>10</v>
      </c>
      <c r="G27" s="14" t="s">
        <v>12</v>
      </c>
      <c r="H27" s="15" t="s">
        <v>11</v>
      </c>
      <c r="I27" s="14" t="s">
        <v>13</v>
      </c>
      <c r="J27" s="15" t="s">
        <v>10</v>
      </c>
      <c r="K27" s="14" t="s">
        <v>11</v>
      </c>
      <c r="L27" s="15" t="s">
        <v>11</v>
      </c>
      <c r="M27" s="14" t="s">
        <v>13</v>
      </c>
      <c r="N27" s="40" t="s">
        <v>11</v>
      </c>
      <c r="O27" s="17" t="s">
        <v>85</v>
      </c>
      <c r="P27" s="17"/>
      <c r="Q27" s="17" t="s">
        <v>124</v>
      </c>
    </row>
    <row r="28" spans="1:17" ht="12.75">
      <c r="A28" s="11" t="s">
        <v>42</v>
      </c>
      <c r="B28" s="17" t="s">
        <v>81</v>
      </c>
      <c r="C28" s="65" t="s">
        <v>9</v>
      </c>
      <c r="D28" s="15" t="s">
        <v>10</v>
      </c>
      <c r="E28" s="14" t="s">
        <v>10</v>
      </c>
      <c r="F28" s="15" t="s">
        <v>10</v>
      </c>
      <c r="G28" s="14" t="s">
        <v>12</v>
      </c>
      <c r="H28" s="15" t="s">
        <v>11</v>
      </c>
      <c r="I28" s="14" t="s">
        <v>12</v>
      </c>
      <c r="J28" s="15" t="s">
        <v>10</v>
      </c>
      <c r="K28" s="14" t="s">
        <v>11</v>
      </c>
      <c r="L28" s="15" t="s">
        <v>11</v>
      </c>
      <c r="M28" s="14" t="s">
        <v>12</v>
      </c>
      <c r="N28" s="40" t="s">
        <v>11</v>
      </c>
      <c r="O28" s="17" t="s">
        <v>86</v>
      </c>
      <c r="P28" s="17"/>
      <c r="Q28" s="17" t="s">
        <v>142</v>
      </c>
    </row>
    <row r="29" spans="1:17" ht="12.75">
      <c r="A29" s="11" t="s">
        <v>43</v>
      </c>
      <c r="B29" s="17" t="s">
        <v>81</v>
      </c>
      <c r="C29" s="65" t="s">
        <v>9</v>
      </c>
      <c r="D29" s="15" t="s">
        <v>10</v>
      </c>
      <c r="E29" s="14" t="s">
        <v>10</v>
      </c>
      <c r="F29" s="15" t="s">
        <v>10</v>
      </c>
      <c r="G29" s="14" t="s">
        <v>12</v>
      </c>
      <c r="H29" s="15" t="s">
        <v>11</v>
      </c>
      <c r="I29" s="14" t="s">
        <v>12</v>
      </c>
      <c r="J29" s="15" t="s">
        <v>10</v>
      </c>
      <c r="K29" s="14" t="s">
        <v>11</v>
      </c>
      <c r="L29" s="15" t="s">
        <v>11</v>
      </c>
      <c r="M29" s="14" t="s">
        <v>12</v>
      </c>
      <c r="N29" s="40" t="s">
        <v>11</v>
      </c>
      <c r="O29" s="17" t="s">
        <v>86</v>
      </c>
      <c r="P29" s="17"/>
      <c r="Q29" s="17" t="s">
        <v>140</v>
      </c>
    </row>
    <row r="30" spans="1:17" ht="12.75">
      <c r="A30" s="11" t="s">
        <v>44</v>
      </c>
      <c r="B30" s="17" t="s">
        <v>81</v>
      </c>
      <c r="C30" s="65" t="s">
        <v>9</v>
      </c>
      <c r="D30" s="15" t="s">
        <v>10</v>
      </c>
      <c r="E30" s="14" t="s">
        <v>10</v>
      </c>
      <c r="F30" s="15" t="s">
        <v>11</v>
      </c>
      <c r="G30" s="14" t="s">
        <v>12</v>
      </c>
      <c r="H30" s="15" t="s">
        <v>11</v>
      </c>
      <c r="I30" s="14" t="s">
        <v>12</v>
      </c>
      <c r="J30" s="15" t="s">
        <v>10</v>
      </c>
      <c r="K30" s="14" t="s">
        <v>11</v>
      </c>
      <c r="L30" s="15" t="s">
        <v>11</v>
      </c>
      <c r="M30" s="14" t="s">
        <v>12</v>
      </c>
      <c r="N30" s="40" t="s">
        <v>10</v>
      </c>
      <c r="O30" s="17" t="s">
        <v>87</v>
      </c>
      <c r="P30" s="17"/>
      <c r="Q30" s="17" t="s">
        <v>123</v>
      </c>
    </row>
    <row r="31" spans="1:17" ht="12.75">
      <c r="A31" s="68" t="s">
        <v>45</v>
      </c>
      <c r="B31" s="66" t="s">
        <v>74</v>
      </c>
      <c r="C31" s="65" t="s">
        <v>9</v>
      </c>
      <c r="D31" s="15" t="s">
        <v>10</v>
      </c>
      <c r="E31" s="14" t="s">
        <v>10</v>
      </c>
      <c r="F31" s="15" t="s">
        <v>11</v>
      </c>
      <c r="G31" s="14" t="s">
        <v>12</v>
      </c>
      <c r="H31" s="15" t="s">
        <v>12</v>
      </c>
      <c r="I31" s="14" t="s">
        <v>12</v>
      </c>
      <c r="J31" s="15" t="s">
        <v>10</v>
      </c>
      <c r="K31" s="14" t="s">
        <v>12</v>
      </c>
      <c r="L31" s="15" t="s">
        <v>12</v>
      </c>
      <c r="M31" s="14" t="s">
        <v>12</v>
      </c>
      <c r="N31" s="40" t="s">
        <v>10</v>
      </c>
      <c r="O31" s="66" t="s">
        <v>87</v>
      </c>
      <c r="P31" s="66"/>
      <c r="Q31" s="66" t="s">
        <v>152</v>
      </c>
    </row>
    <row r="32" spans="1:17" ht="12.75">
      <c r="A32" s="11" t="s">
        <v>46</v>
      </c>
      <c r="B32" s="17" t="s">
        <v>81</v>
      </c>
      <c r="C32" s="65" t="s">
        <v>9</v>
      </c>
      <c r="D32" s="15" t="s">
        <v>10</v>
      </c>
      <c r="E32" s="14" t="s">
        <v>10</v>
      </c>
      <c r="F32" s="15" t="s">
        <v>10</v>
      </c>
      <c r="G32" s="14" t="s">
        <v>15</v>
      </c>
      <c r="H32" s="15" t="s">
        <v>15</v>
      </c>
      <c r="I32" s="14" t="s">
        <v>15</v>
      </c>
      <c r="J32" s="15" t="s">
        <v>10</v>
      </c>
      <c r="K32" s="14" t="s">
        <v>15</v>
      </c>
      <c r="L32" s="15" t="s">
        <v>15</v>
      </c>
      <c r="M32" s="14" t="s">
        <v>15</v>
      </c>
      <c r="N32" s="40" t="s">
        <v>10</v>
      </c>
      <c r="O32" s="17" t="s">
        <v>88</v>
      </c>
      <c r="P32" s="17"/>
      <c r="Q32" s="17" t="s">
        <v>130</v>
      </c>
    </row>
    <row r="33" spans="1:17" ht="12.75">
      <c r="A33" s="11" t="s">
        <v>47</v>
      </c>
      <c r="B33" s="17" t="s">
        <v>81</v>
      </c>
      <c r="C33" s="65" t="s">
        <v>9</v>
      </c>
      <c r="D33" s="15" t="s">
        <v>10</v>
      </c>
      <c r="E33" s="14" t="s">
        <v>10</v>
      </c>
      <c r="F33" s="15" t="s">
        <v>10</v>
      </c>
      <c r="G33" s="14" t="s">
        <v>12</v>
      </c>
      <c r="H33" s="15" t="s">
        <v>11</v>
      </c>
      <c r="I33" s="14" t="s">
        <v>12</v>
      </c>
      <c r="J33" s="15" t="s">
        <v>10</v>
      </c>
      <c r="K33" s="14" t="s">
        <v>11</v>
      </c>
      <c r="L33" s="15" t="s">
        <v>11</v>
      </c>
      <c r="M33" s="14" t="s">
        <v>12</v>
      </c>
      <c r="N33" s="40" t="s">
        <v>11</v>
      </c>
      <c r="O33" s="17" t="s">
        <v>89</v>
      </c>
      <c r="P33" s="17"/>
      <c r="Q33" s="17" t="s">
        <v>125</v>
      </c>
    </row>
    <row r="34" spans="1:17" ht="12.75">
      <c r="A34" s="11" t="s">
        <v>48</v>
      </c>
      <c r="B34" s="17" t="s">
        <v>81</v>
      </c>
      <c r="C34" s="65" t="s">
        <v>9</v>
      </c>
      <c r="D34" s="15" t="s">
        <v>10</v>
      </c>
      <c r="E34" s="14" t="s">
        <v>10</v>
      </c>
      <c r="F34" s="15" t="s">
        <v>11</v>
      </c>
      <c r="G34" s="14" t="s">
        <v>12</v>
      </c>
      <c r="H34" s="15" t="s">
        <v>11</v>
      </c>
      <c r="I34" s="14" t="s">
        <v>12</v>
      </c>
      <c r="J34" s="15" t="s">
        <v>10</v>
      </c>
      <c r="K34" s="14" t="s">
        <v>11</v>
      </c>
      <c r="L34" s="15" t="s">
        <v>11</v>
      </c>
      <c r="M34" s="14" t="s">
        <v>12</v>
      </c>
      <c r="N34" s="40" t="s">
        <v>10</v>
      </c>
      <c r="O34" s="17" t="s">
        <v>89</v>
      </c>
      <c r="P34" s="17"/>
      <c r="Q34" s="17" t="s">
        <v>125</v>
      </c>
    </row>
    <row r="35" spans="1:17" ht="12.75">
      <c r="A35" s="11" t="s">
        <v>49</v>
      </c>
      <c r="B35" s="17" t="s">
        <v>81</v>
      </c>
      <c r="C35" s="65" t="s">
        <v>9</v>
      </c>
      <c r="D35" s="15" t="s">
        <v>12</v>
      </c>
      <c r="E35" s="14" t="s">
        <v>12</v>
      </c>
      <c r="F35" s="15" t="s">
        <v>12</v>
      </c>
      <c r="G35" s="14" t="s">
        <v>12</v>
      </c>
      <c r="H35" s="15" t="s">
        <v>12</v>
      </c>
      <c r="I35" s="14" t="s">
        <v>13</v>
      </c>
      <c r="J35" s="15" t="s">
        <v>12</v>
      </c>
      <c r="K35" s="14" t="s">
        <v>12</v>
      </c>
      <c r="L35" s="15" t="s">
        <v>12</v>
      </c>
      <c r="M35" s="14" t="s">
        <v>13</v>
      </c>
      <c r="N35" s="40" t="s">
        <v>12</v>
      </c>
      <c r="O35" s="17" t="s">
        <v>90</v>
      </c>
      <c r="P35" s="23"/>
      <c r="Q35" s="31" t="s">
        <v>143</v>
      </c>
    </row>
    <row r="36" spans="1:17" ht="12.75">
      <c r="A36" s="11" t="s">
        <v>131</v>
      </c>
      <c r="B36" s="17" t="s">
        <v>81</v>
      </c>
      <c r="C36" s="65" t="s">
        <v>9</v>
      </c>
      <c r="D36" s="15" t="s">
        <v>12</v>
      </c>
      <c r="E36" s="14" t="s">
        <v>12</v>
      </c>
      <c r="F36" s="15" t="s">
        <v>12</v>
      </c>
      <c r="G36" s="14" t="s">
        <v>12</v>
      </c>
      <c r="H36" s="15" t="s">
        <v>12</v>
      </c>
      <c r="I36" s="14" t="s">
        <v>13</v>
      </c>
      <c r="J36" s="15" t="s">
        <v>12</v>
      </c>
      <c r="K36" s="14" t="s">
        <v>12</v>
      </c>
      <c r="L36" s="15" t="s">
        <v>12</v>
      </c>
      <c r="M36" s="14" t="s">
        <v>13</v>
      </c>
      <c r="N36" s="40" t="s">
        <v>12</v>
      </c>
      <c r="O36" s="17" t="s">
        <v>90</v>
      </c>
      <c r="P36" s="23"/>
      <c r="Q36" s="31" t="s">
        <v>143</v>
      </c>
    </row>
    <row r="37" spans="1:17" ht="12.75">
      <c r="A37" s="11" t="s">
        <v>50</v>
      </c>
      <c r="B37" s="17" t="s">
        <v>81</v>
      </c>
      <c r="C37" s="65" t="s">
        <v>9</v>
      </c>
      <c r="D37" s="15" t="s">
        <v>10</v>
      </c>
      <c r="E37" s="14" t="s">
        <v>10</v>
      </c>
      <c r="F37" s="15" t="s">
        <v>11</v>
      </c>
      <c r="G37" s="14" t="s">
        <v>12</v>
      </c>
      <c r="H37" s="15" t="s">
        <v>11</v>
      </c>
      <c r="I37" s="14" t="s">
        <v>12</v>
      </c>
      <c r="J37" s="15" t="s">
        <v>10</v>
      </c>
      <c r="K37" s="14" t="s">
        <v>11</v>
      </c>
      <c r="L37" s="15" t="s">
        <v>11</v>
      </c>
      <c r="M37" s="14" t="s">
        <v>12</v>
      </c>
      <c r="N37" s="40" t="s">
        <v>10</v>
      </c>
      <c r="O37" s="17" t="s">
        <v>91</v>
      </c>
      <c r="P37" s="17"/>
      <c r="Q37" s="17" t="s">
        <v>144</v>
      </c>
    </row>
    <row r="38" spans="1:17" ht="12.75">
      <c r="A38" s="11" t="s">
        <v>51</v>
      </c>
      <c r="B38" s="17" t="s">
        <v>81</v>
      </c>
      <c r="C38" s="65" t="s">
        <v>9</v>
      </c>
      <c r="D38" s="15" t="s">
        <v>10</v>
      </c>
      <c r="E38" s="14" t="s">
        <v>10</v>
      </c>
      <c r="F38" s="15" t="s">
        <v>11</v>
      </c>
      <c r="G38" s="14" t="s">
        <v>15</v>
      </c>
      <c r="H38" s="15" t="s">
        <v>15</v>
      </c>
      <c r="I38" s="14" t="s">
        <v>15</v>
      </c>
      <c r="J38" s="15" t="s">
        <v>10</v>
      </c>
      <c r="K38" s="14" t="s">
        <v>10</v>
      </c>
      <c r="L38" s="15" t="s">
        <v>15</v>
      </c>
      <c r="M38" s="14" t="s">
        <v>15</v>
      </c>
      <c r="N38" s="40" t="s">
        <v>15</v>
      </c>
      <c r="O38" s="17" t="s">
        <v>92</v>
      </c>
      <c r="P38" s="17"/>
      <c r="Q38" s="17" t="s">
        <v>120</v>
      </c>
    </row>
    <row r="39" spans="1:17" ht="12.75">
      <c r="A39" s="11" t="s">
        <v>52</v>
      </c>
      <c r="B39" s="17" t="s">
        <v>81</v>
      </c>
      <c r="C39" s="65" t="s">
        <v>9</v>
      </c>
      <c r="D39" s="15" t="s">
        <v>10</v>
      </c>
      <c r="E39" s="14" t="s">
        <v>10</v>
      </c>
      <c r="F39" s="15" t="s">
        <v>10</v>
      </c>
      <c r="G39" s="14" t="s">
        <v>15</v>
      </c>
      <c r="H39" s="15" t="s">
        <v>15</v>
      </c>
      <c r="I39" s="14" t="s">
        <v>15</v>
      </c>
      <c r="J39" s="15" t="s">
        <v>10</v>
      </c>
      <c r="K39" s="14" t="s">
        <v>10</v>
      </c>
      <c r="L39" s="15" t="s">
        <v>10</v>
      </c>
      <c r="M39" s="14" t="s">
        <v>15</v>
      </c>
      <c r="N39" s="40" t="s">
        <v>15</v>
      </c>
      <c r="O39" s="17" t="s">
        <v>92</v>
      </c>
      <c r="P39" s="17"/>
      <c r="Q39" s="17" t="s">
        <v>113</v>
      </c>
    </row>
    <row r="40" spans="1:17" ht="12.75">
      <c r="A40" s="11" t="s">
        <v>53</v>
      </c>
      <c r="B40" s="17" t="s">
        <v>81</v>
      </c>
      <c r="C40" s="65" t="s">
        <v>9</v>
      </c>
      <c r="D40" s="15" t="s">
        <v>10</v>
      </c>
      <c r="E40" s="14" t="s">
        <v>10</v>
      </c>
      <c r="F40" s="15" t="s">
        <v>10</v>
      </c>
      <c r="G40" s="14" t="s">
        <v>12</v>
      </c>
      <c r="H40" s="15" t="s">
        <v>11</v>
      </c>
      <c r="I40" s="14" t="s">
        <v>13</v>
      </c>
      <c r="J40" s="15" t="s">
        <v>10</v>
      </c>
      <c r="K40" s="14" t="s">
        <v>11</v>
      </c>
      <c r="L40" s="15" t="s">
        <v>11</v>
      </c>
      <c r="M40" s="14" t="s">
        <v>13</v>
      </c>
      <c r="N40" s="40" t="s">
        <v>11</v>
      </c>
      <c r="O40" s="17" t="s">
        <v>93</v>
      </c>
      <c r="P40" s="17"/>
      <c r="Q40" s="17" t="s">
        <v>116</v>
      </c>
    </row>
    <row r="41" spans="1:17" ht="12.75">
      <c r="A41" s="11" t="s">
        <v>108</v>
      </c>
      <c r="B41" s="17" t="s">
        <v>81</v>
      </c>
      <c r="C41" s="65" t="s">
        <v>9</v>
      </c>
      <c r="D41" s="15" t="s">
        <v>15</v>
      </c>
      <c r="E41" s="14" t="s">
        <v>12</v>
      </c>
      <c r="F41" s="15" t="s">
        <v>12</v>
      </c>
      <c r="G41" s="14" t="s">
        <v>15</v>
      </c>
      <c r="H41" s="15" t="s">
        <v>15</v>
      </c>
      <c r="I41" s="14" t="s">
        <v>15</v>
      </c>
      <c r="J41" s="15" t="s">
        <v>15</v>
      </c>
      <c r="K41" s="14" t="s">
        <v>15</v>
      </c>
      <c r="L41" s="15" t="s">
        <v>15</v>
      </c>
      <c r="M41" s="14" t="s">
        <v>15</v>
      </c>
      <c r="N41" s="40" t="s">
        <v>15</v>
      </c>
      <c r="O41" s="17" t="s">
        <v>93</v>
      </c>
      <c r="P41" s="17"/>
      <c r="Q41" s="17" t="s">
        <v>126</v>
      </c>
    </row>
    <row r="42" spans="1:17" ht="12.75">
      <c r="A42" s="28" t="s">
        <v>109</v>
      </c>
      <c r="B42" s="17" t="s">
        <v>81</v>
      </c>
      <c r="C42" s="65" t="s">
        <v>9</v>
      </c>
      <c r="D42" s="15" t="s">
        <v>15</v>
      </c>
      <c r="E42" s="14" t="s">
        <v>10</v>
      </c>
      <c r="F42" s="15" t="s">
        <v>12</v>
      </c>
      <c r="G42" s="14" t="s">
        <v>15</v>
      </c>
      <c r="H42" s="15" t="s">
        <v>15</v>
      </c>
      <c r="I42" s="14" t="s">
        <v>15</v>
      </c>
      <c r="J42" s="15" t="s">
        <v>15</v>
      </c>
      <c r="K42" s="14" t="s">
        <v>15</v>
      </c>
      <c r="L42" s="15" t="s">
        <v>15</v>
      </c>
      <c r="M42" s="14" t="s">
        <v>15</v>
      </c>
      <c r="N42" s="40" t="s">
        <v>15</v>
      </c>
      <c r="O42" s="17" t="s">
        <v>93</v>
      </c>
      <c r="P42" s="17"/>
      <c r="Q42" s="17" t="s">
        <v>126</v>
      </c>
    </row>
    <row r="43" spans="1:17" ht="12.75">
      <c r="A43" s="28" t="s">
        <v>54</v>
      </c>
      <c r="B43" s="17" t="s">
        <v>81</v>
      </c>
      <c r="C43" s="65" t="s">
        <v>9</v>
      </c>
      <c r="D43" s="15" t="s">
        <v>10</v>
      </c>
      <c r="E43" s="14" t="s">
        <v>10</v>
      </c>
      <c r="F43" s="15" t="s">
        <v>10</v>
      </c>
      <c r="G43" s="14" t="s">
        <v>12</v>
      </c>
      <c r="H43" s="15" t="s">
        <v>11</v>
      </c>
      <c r="I43" s="14" t="s">
        <v>13</v>
      </c>
      <c r="J43" s="15" t="s">
        <v>10</v>
      </c>
      <c r="K43" s="14" t="s">
        <v>11</v>
      </c>
      <c r="L43" s="15" t="s">
        <v>11</v>
      </c>
      <c r="M43" s="14" t="s">
        <v>13</v>
      </c>
      <c r="N43" s="40" t="s">
        <v>11</v>
      </c>
      <c r="O43" s="17" t="s">
        <v>93</v>
      </c>
      <c r="P43" s="17"/>
      <c r="Q43" s="17" t="s">
        <v>145</v>
      </c>
    </row>
    <row r="44" spans="1:17" ht="12.75">
      <c r="A44" s="11" t="s">
        <v>112</v>
      </c>
      <c r="B44" s="11" t="s">
        <v>81</v>
      </c>
      <c r="C44" s="65" t="s">
        <v>9</v>
      </c>
      <c r="D44" s="15" t="s">
        <v>14</v>
      </c>
      <c r="E44" s="14" t="s">
        <v>14</v>
      </c>
      <c r="F44" s="15" t="s">
        <v>14</v>
      </c>
      <c r="G44" s="14" t="s">
        <v>14</v>
      </c>
      <c r="H44" s="15" t="s">
        <v>14</v>
      </c>
      <c r="I44" s="14" t="s">
        <v>14</v>
      </c>
      <c r="J44" s="15" t="s">
        <v>14</v>
      </c>
      <c r="K44" s="14" t="s">
        <v>14</v>
      </c>
      <c r="L44" s="15" t="s">
        <v>14</v>
      </c>
      <c r="M44" s="14" t="s">
        <v>14</v>
      </c>
      <c r="N44" s="40" t="s">
        <v>14</v>
      </c>
      <c r="O44" s="11" t="s">
        <v>93</v>
      </c>
      <c r="P44" s="11"/>
      <c r="Q44" s="11" t="s">
        <v>114</v>
      </c>
    </row>
    <row r="45" spans="1:17" ht="12.75">
      <c r="A45" s="11" t="s">
        <v>55</v>
      </c>
      <c r="B45" s="17" t="s">
        <v>81</v>
      </c>
      <c r="C45" s="65" t="s">
        <v>9</v>
      </c>
      <c r="D45" s="15" t="s">
        <v>10</v>
      </c>
      <c r="E45" s="14" t="s">
        <v>10</v>
      </c>
      <c r="F45" s="15" t="s">
        <v>10</v>
      </c>
      <c r="G45" s="14" t="s">
        <v>12</v>
      </c>
      <c r="H45" s="15" t="s">
        <v>11</v>
      </c>
      <c r="I45" s="14" t="s">
        <v>13</v>
      </c>
      <c r="J45" s="15" t="s">
        <v>10</v>
      </c>
      <c r="K45" s="14" t="s">
        <v>11</v>
      </c>
      <c r="L45" s="15" t="s">
        <v>11</v>
      </c>
      <c r="M45" s="14" t="s">
        <v>13</v>
      </c>
      <c r="N45" s="40" t="s">
        <v>11</v>
      </c>
      <c r="O45" s="17" t="s">
        <v>93</v>
      </c>
      <c r="P45" s="17"/>
      <c r="Q45" s="17" t="s">
        <v>115</v>
      </c>
    </row>
    <row r="46" spans="1:17" ht="12.75">
      <c r="A46" s="11" t="s">
        <v>56</v>
      </c>
      <c r="B46" s="17" t="s">
        <v>81</v>
      </c>
      <c r="C46" s="65" t="s">
        <v>9</v>
      </c>
      <c r="D46" s="15" t="s">
        <v>10</v>
      </c>
      <c r="E46" s="14" t="s">
        <v>10</v>
      </c>
      <c r="F46" s="15" t="s">
        <v>10</v>
      </c>
      <c r="G46" s="14" t="s">
        <v>12</v>
      </c>
      <c r="H46" s="15" t="s">
        <v>11</v>
      </c>
      <c r="I46" s="14" t="s">
        <v>13</v>
      </c>
      <c r="J46" s="15" t="s">
        <v>10</v>
      </c>
      <c r="K46" s="14" t="s">
        <v>11</v>
      </c>
      <c r="L46" s="15" t="s">
        <v>11</v>
      </c>
      <c r="M46" s="14" t="s">
        <v>13</v>
      </c>
      <c r="N46" s="40" t="s">
        <v>11</v>
      </c>
      <c r="O46" s="17" t="s">
        <v>93</v>
      </c>
      <c r="P46" s="17"/>
      <c r="Q46" s="17" t="s">
        <v>146</v>
      </c>
    </row>
    <row r="47" spans="1:17" ht="12.75">
      <c r="A47" s="11" t="s">
        <v>57</v>
      </c>
      <c r="B47" s="17" t="s">
        <v>81</v>
      </c>
      <c r="C47" s="65" t="s">
        <v>9</v>
      </c>
      <c r="D47" s="15" t="s">
        <v>10</v>
      </c>
      <c r="E47" s="14" t="s">
        <v>10</v>
      </c>
      <c r="F47" s="15" t="s">
        <v>10</v>
      </c>
      <c r="G47" s="14" t="s">
        <v>12</v>
      </c>
      <c r="H47" s="15" t="s">
        <v>11</v>
      </c>
      <c r="I47" s="14" t="s">
        <v>13</v>
      </c>
      <c r="J47" s="15" t="s">
        <v>10</v>
      </c>
      <c r="K47" s="14" t="s">
        <v>11</v>
      </c>
      <c r="L47" s="15" t="s">
        <v>11</v>
      </c>
      <c r="M47" s="14" t="s">
        <v>13</v>
      </c>
      <c r="N47" s="40" t="s">
        <v>11</v>
      </c>
      <c r="O47" s="17" t="s">
        <v>93</v>
      </c>
      <c r="P47" s="17"/>
      <c r="Q47" s="17" t="s">
        <v>147</v>
      </c>
    </row>
    <row r="48" spans="1:17" ht="12.75">
      <c r="A48" s="11" t="s">
        <v>58</v>
      </c>
      <c r="B48" s="17" t="s">
        <v>81</v>
      </c>
      <c r="C48" s="65" t="s">
        <v>9</v>
      </c>
      <c r="D48" s="15" t="s">
        <v>10</v>
      </c>
      <c r="E48" s="14" t="s">
        <v>10</v>
      </c>
      <c r="F48" s="15" t="s">
        <v>12</v>
      </c>
      <c r="G48" s="14" t="s">
        <v>12</v>
      </c>
      <c r="H48" s="15" t="s">
        <v>11</v>
      </c>
      <c r="I48" s="14" t="s">
        <v>13</v>
      </c>
      <c r="J48" s="15" t="s">
        <v>10</v>
      </c>
      <c r="K48" s="14" t="s">
        <v>11</v>
      </c>
      <c r="L48" s="15" t="s">
        <v>11</v>
      </c>
      <c r="M48" s="14" t="s">
        <v>13</v>
      </c>
      <c r="N48" s="40" t="s">
        <v>10</v>
      </c>
      <c r="O48" s="17" t="s">
        <v>93</v>
      </c>
      <c r="P48" s="17"/>
      <c r="Q48" s="17" t="s">
        <v>148</v>
      </c>
    </row>
    <row r="49" spans="1:17" ht="12.75">
      <c r="A49" s="11" t="s">
        <v>59</v>
      </c>
      <c r="B49" s="17" t="s">
        <v>81</v>
      </c>
      <c r="C49" s="65" t="s">
        <v>9</v>
      </c>
      <c r="D49" s="15" t="s">
        <v>10</v>
      </c>
      <c r="E49" s="14" t="s">
        <v>10</v>
      </c>
      <c r="F49" s="15" t="s">
        <v>10</v>
      </c>
      <c r="G49" s="14" t="s">
        <v>12</v>
      </c>
      <c r="H49" s="15" t="s">
        <v>11</v>
      </c>
      <c r="I49" s="14" t="s">
        <v>13</v>
      </c>
      <c r="J49" s="15" t="s">
        <v>10</v>
      </c>
      <c r="K49" s="14" t="s">
        <v>11</v>
      </c>
      <c r="L49" s="15" t="s">
        <v>11</v>
      </c>
      <c r="M49" s="14" t="s">
        <v>13</v>
      </c>
      <c r="N49" s="40" t="s">
        <v>11</v>
      </c>
      <c r="O49" s="17" t="s">
        <v>93</v>
      </c>
      <c r="P49" s="17"/>
      <c r="Q49" s="17" t="s">
        <v>117</v>
      </c>
    </row>
    <row r="50" spans="1:17" ht="12.75">
      <c r="A50" s="66" t="s">
        <v>137</v>
      </c>
      <c r="B50" s="66" t="s">
        <v>74</v>
      </c>
      <c r="C50" s="65" t="s">
        <v>9</v>
      </c>
      <c r="D50" s="33" t="s">
        <v>15</v>
      </c>
      <c r="E50" s="34" t="s">
        <v>10</v>
      </c>
      <c r="F50" s="33" t="s">
        <v>10</v>
      </c>
      <c r="G50" s="34" t="s">
        <v>15</v>
      </c>
      <c r="H50" s="33" t="s">
        <v>15</v>
      </c>
      <c r="I50" s="34" t="s">
        <v>15</v>
      </c>
      <c r="J50" s="33" t="s">
        <v>15</v>
      </c>
      <c r="K50" s="34" t="s">
        <v>15</v>
      </c>
      <c r="L50" s="33" t="s">
        <v>15</v>
      </c>
      <c r="M50" s="34" t="s">
        <v>15</v>
      </c>
      <c r="N50" s="40" t="s">
        <v>15</v>
      </c>
      <c r="O50" s="69" t="s">
        <v>93</v>
      </c>
      <c r="P50" s="69"/>
      <c r="Q50" s="66" t="s">
        <v>153</v>
      </c>
    </row>
    <row r="51" spans="1:17" ht="12.75">
      <c r="A51" s="66" t="s">
        <v>76</v>
      </c>
      <c r="B51" s="66" t="s">
        <v>74</v>
      </c>
      <c r="C51" s="65" t="s">
        <v>9</v>
      </c>
      <c r="D51" s="15" t="s">
        <v>10</v>
      </c>
      <c r="E51" s="14" t="s">
        <v>10</v>
      </c>
      <c r="F51" s="15" t="s">
        <v>12</v>
      </c>
      <c r="G51" s="14" t="s">
        <v>12</v>
      </c>
      <c r="H51" s="15" t="s">
        <v>12</v>
      </c>
      <c r="I51" s="14" t="s">
        <v>13</v>
      </c>
      <c r="J51" s="15" t="s">
        <v>10</v>
      </c>
      <c r="K51" s="14" t="s">
        <v>12</v>
      </c>
      <c r="L51" s="15" t="s">
        <v>12</v>
      </c>
      <c r="M51" s="14" t="s">
        <v>13</v>
      </c>
      <c r="N51" s="40" t="s">
        <v>11</v>
      </c>
      <c r="O51" s="66" t="s">
        <v>93</v>
      </c>
      <c r="P51" s="66"/>
      <c r="Q51" s="66" t="s">
        <v>134</v>
      </c>
    </row>
    <row r="52" spans="1:17" ht="12.75">
      <c r="A52" s="11" t="s">
        <v>60</v>
      </c>
      <c r="B52" s="17" t="s">
        <v>81</v>
      </c>
      <c r="C52" s="65" t="s">
        <v>9</v>
      </c>
      <c r="D52" s="15" t="s">
        <v>10</v>
      </c>
      <c r="E52" s="14" t="s">
        <v>10</v>
      </c>
      <c r="F52" s="15" t="s">
        <v>15</v>
      </c>
      <c r="G52" s="14" t="s">
        <v>15</v>
      </c>
      <c r="H52" s="15" t="s">
        <v>15</v>
      </c>
      <c r="I52" s="14" t="s">
        <v>15</v>
      </c>
      <c r="J52" s="15" t="s">
        <v>10</v>
      </c>
      <c r="K52" s="14" t="s">
        <v>10</v>
      </c>
      <c r="L52" s="15" t="s">
        <v>15</v>
      </c>
      <c r="M52" s="14" t="s">
        <v>15</v>
      </c>
      <c r="N52" s="40" t="s">
        <v>15</v>
      </c>
      <c r="O52" s="17" t="s">
        <v>93</v>
      </c>
      <c r="P52" s="17"/>
      <c r="Q52" s="17" t="s">
        <v>129</v>
      </c>
    </row>
    <row r="53" spans="1:17" ht="12.75">
      <c r="A53" s="11" t="s">
        <v>61</v>
      </c>
      <c r="B53" s="17" t="s">
        <v>81</v>
      </c>
      <c r="C53" s="65" t="s">
        <v>9</v>
      </c>
      <c r="D53" s="15" t="s">
        <v>10</v>
      </c>
      <c r="E53" s="14" t="s">
        <v>10</v>
      </c>
      <c r="F53" s="15" t="s">
        <v>10</v>
      </c>
      <c r="G53" s="14" t="s">
        <v>12</v>
      </c>
      <c r="H53" s="15" t="s">
        <v>11</v>
      </c>
      <c r="I53" s="14" t="s">
        <v>13</v>
      </c>
      <c r="J53" s="15" t="s">
        <v>10</v>
      </c>
      <c r="K53" s="14" t="s">
        <v>11</v>
      </c>
      <c r="L53" s="15" t="s">
        <v>11</v>
      </c>
      <c r="M53" s="14" t="s">
        <v>13</v>
      </c>
      <c r="N53" s="40" t="s">
        <v>11</v>
      </c>
      <c r="O53" s="17" t="s">
        <v>93</v>
      </c>
      <c r="P53" s="17"/>
      <c r="Q53" s="17" t="s">
        <v>149</v>
      </c>
    </row>
    <row r="54" spans="1:17" ht="12.75">
      <c r="A54" s="66" t="s">
        <v>77</v>
      </c>
      <c r="B54" s="66" t="s">
        <v>74</v>
      </c>
      <c r="C54" s="65" t="s">
        <v>9</v>
      </c>
      <c r="D54" s="15" t="s">
        <v>10</v>
      </c>
      <c r="E54" s="14" t="s">
        <v>10</v>
      </c>
      <c r="F54" s="15" t="s">
        <v>11</v>
      </c>
      <c r="G54" s="14" t="s">
        <v>12</v>
      </c>
      <c r="H54" s="15" t="s">
        <v>12</v>
      </c>
      <c r="I54" s="14" t="s">
        <v>12</v>
      </c>
      <c r="J54" s="15" t="s">
        <v>10</v>
      </c>
      <c r="K54" s="14" t="s">
        <v>12</v>
      </c>
      <c r="L54" s="15" t="s">
        <v>12</v>
      </c>
      <c r="M54" s="14" t="s">
        <v>12</v>
      </c>
      <c r="N54" s="40" t="s">
        <v>11</v>
      </c>
      <c r="O54" s="66" t="s">
        <v>87</v>
      </c>
      <c r="P54" s="66"/>
      <c r="Q54" s="70" t="s">
        <v>144</v>
      </c>
    </row>
    <row r="55" spans="1:17" ht="12.75">
      <c r="A55" s="87" t="s">
        <v>192</v>
      </c>
      <c r="B55" s="85" t="s">
        <v>81</v>
      </c>
      <c r="C55" s="65" t="s">
        <v>9</v>
      </c>
      <c r="D55" s="15" t="s">
        <v>10</v>
      </c>
      <c r="E55" s="14" t="s">
        <v>10</v>
      </c>
      <c r="F55" s="15" t="s">
        <v>10</v>
      </c>
      <c r="G55" s="14" t="s">
        <v>12</v>
      </c>
      <c r="H55" s="15" t="s">
        <v>11</v>
      </c>
      <c r="I55" s="14" t="s">
        <v>13</v>
      </c>
      <c r="J55" s="15" t="s">
        <v>11</v>
      </c>
      <c r="K55" s="14" t="s">
        <v>11</v>
      </c>
      <c r="L55" s="15" t="s">
        <v>11</v>
      </c>
      <c r="M55" s="14" t="s">
        <v>13</v>
      </c>
      <c r="N55" s="40" t="s">
        <v>11</v>
      </c>
      <c r="O55" s="85" t="s">
        <v>94</v>
      </c>
      <c r="P55" s="85"/>
      <c r="Q55" s="85" t="s">
        <v>156</v>
      </c>
    </row>
    <row r="56" spans="1:17" ht="12.75">
      <c r="A56" s="11" t="s">
        <v>179</v>
      </c>
      <c r="B56" s="11" t="s">
        <v>81</v>
      </c>
      <c r="C56" s="65" t="s">
        <v>9</v>
      </c>
      <c r="D56" s="15" t="s">
        <v>10</v>
      </c>
      <c r="E56" s="14" t="s">
        <v>10</v>
      </c>
      <c r="F56" s="15" t="s">
        <v>11</v>
      </c>
      <c r="G56" s="14" t="s">
        <v>12</v>
      </c>
      <c r="H56" s="15" t="s">
        <v>11</v>
      </c>
      <c r="I56" s="14" t="s">
        <v>13</v>
      </c>
      <c r="J56" s="15" t="s">
        <v>11</v>
      </c>
      <c r="K56" s="14" t="s">
        <v>11</v>
      </c>
      <c r="L56" s="15" t="s">
        <v>11</v>
      </c>
      <c r="M56" s="14" t="s">
        <v>13</v>
      </c>
      <c r="N56" s="40" t="s">
        <v>11</v>
      </c>
      <c r="O56" s="17" t="s">
        <v>94</v>
      </c>
      <c r="P56" s="71" t="s">
        <v>173</v>
      </c>
      <c r="Q56" s="11" t="s">
        <v>174</v>
      </c>
    </row>
    <row r="57" spans="1:17" ht="12.75">
      <c r="A57" s="11" t="s">
        <v>78</v>
      </c>
      <c r="B57" s="11" t="s">
        <v>81</v>
      </c>
      <c r="C57" s="65" t="s">
        <v>9</v>
      </c>
      <c r="D57" s="15" t="s">
        <v>10</v>
      </c>
      <c r="E57" s="14" t="s">
        <v>10</v>
      </c>
      <c r="F57" s="41" t="s">
        <v>10</v>
      </c>
      <c r="G57" s="14" t="s">
        <v>12</v>
      </c>
      <c r="H57" s="15" t="s">
        <v>11</v>
      </c>
      <c r="I57" s="14" t="s">
        <v>12</v>
      </c>
      <c r="J57" s="15" t="s">
        <v>10</v>
      </c>
      <c r="K57" s="14" t="s">
        <v>11</v>
      </c>
      <c r="L57" s="15" t="s">
        <v>11</v>
      </c>
      <c r="M57" s="14" t="s">
        <v>12</v>
      </c>
      <c r="N57" s="40" t="s">
        <v>11</v>
      </c>
      <c r="O57" s="17" t="s">
        <v>95</v>
      </c>
      <c r="P57" s="17"/>
      <c r="Q57" s="11" t="s">
        <v>138</v>
      </c>
    </row>
    <row r="58" spans="1:17" ht="12.75">
      <c r="A58" s="11" t="s">
        <v>62</v>
      </c>
      <c r="B58" s="11" t="s">
        <v>81</v>
      </c>
      <c r="C58" s="65" t="s">
        <v>9</v>
      </c>
      <c r="D58" s="15" t="s">
        <v>10</v>
      </c>
      <c r="E58" s="14" t="s">
        <v>10</v>
      </c>
      <c r="F58" s="41" t="s">
        <v>15</v>
      </c>
      <c r="G58" s="14" t="s">
        <v>15</v>
      </c>
      <c r="H58" s="15" t="s">
        <v>15</v>
      </c>
      <c r="I58" s="14" t="s">
        <v>15</v>
      </c>
      <c r="J58" s="15" t="s">
        <v>15</v>
      </c>
      <c r="K58" s="14" t="s">
        <v>15</v>
      </c>
      <c r="L58" s="15" t="s">
        <v>15</v>
      </c>
      <c r="M58" s="14" t="s">
        <v>15</v>
      </c>
      <c r="N58" s="40" t="s">
        <v>15</v>
      </c>
      <c r="O58" s="17" t="s">
        <v>92</v>
      </c>
      <c r="P58" s="24"/>
      <c r="Q58" s="17" t="s">
        <v>128</v>
      </c>
    </row>
    <row r="59" spans="1:17" ht="12.75">
      <c r="A59" s="72" t="s">
        <v>180</v>
      </c>
      <c r="B59" s="72" t="s">
        <v>81</v>
      </c>
      <c r="C59" s="73" t="s">
        <v>15</v>
      </c>
      <c r="D59" s="74" t="s">
        <v>10</v>
      </c>
      <c r="E59" s="75" t="s">
        <v>15</v>
      </c>
      <c r="F59" s="76" t="s">
        <v>15</v>
      </c>
      <c r="G59" s="75" t="s">
        <v>15</v>
      </c>
      <c r="H59" s="74" t="s">
        <v>15</v>
      </c>
      <c r="I59" s="75" t="s">
        <v>15</v>
      </c>
      <c r="J59" s="74" t="s">
        <v>15</v>
      </c>
      <c r="K59" s="75" t="s">
        <v>15</v>
      </c>
      <c r="L59" s="74" t="s">
        <v>15</v>
      </c>
      <c r="M59" s="75" t="s">
        <v>15</v>
      </c>
      <c r="N59" s="77" t="s">
        <v>15</v>
      </c>
      <c r="O59" s="72" t="s">
        <v>97</v>
      </c>
      <c r="P59" s="72"/>
      <c r="Q59" s="72" t="s">
        <v>122</v>
      </c>
    </row>
    <row r="60" spans="1:17" ht="12.75">
      <c r="A60" s="11" t="s">
        <v>79</v>
      </c>
      <c r="B60" s="11" t="s">
        <v>81</v>
      </c>
      <c r="C60" s="65" t="s">
        <v>9</v>
      </c>
      <c r="D60" s="15" t="s">
        <v>10</v>
      </c>
      <c r="E60" s="14" t="s">
        <v>10</v>
      </c>
      <c r="F60" s="41" t="s">
        <v>10</v>
      </c>
      <c r="G60" s="14" t="s">
        <v>12</v>
      </c>
      <c r="H60" s="15" t="s">
        <v>11</v>
      </c>
      <c r="I60" s="14" t="s">
        <v>12</v>
      </c>
      <c r="J60" s="15" t="s">
        <v>10</v>
      </c>
      <c r="K60" s="14" t="s">
        <v>11</v>
      </c>
      <c r="L60" s="15" t="s">
        <v>11</v>
      </c>
      <c r="M60" s="14" t="s">
        <v>12</v>
      </c>
      <c r="N60" s="40" t="s">
        <v>10</v>
      </c>
      <c r="O60" s="17" t="s">
        <v>97</v>
      </c>
      <c r="P60" s="17"/>
      <c r="Q60" s="17" t="s">
        <v>121</v>
      </c>
    </row>
    <row r="61" spans="1:17" ht="25.5">
      <c r="A61" s="28" t="s">
        <v>181</v>
      </c>
      <c r="B61" s="28" t="s">
        <v>81</v>
      </c>
      <c r="C61" s="65" t="s">
        <v>9</v>
      </c>
      <c r="D61" s="15" t="s">
        <v>10</v>
      </c>
      <c r="E61" s="14" t="s">
        <v>10</v>
      </c>
      <c r="F61" s="15" t="s">
        <v>10</v>
      </c>
      <c r="G61" s="14" t="s">
        <v>12</v>
      </c>
      <c r="H61" s="15" t="s">
        <v>12</v>
      </c>
      <c r="I61" s="14" t="s">
        <v>13</v>
      </c>
      <c r="J61" s="15" t="s">
        <v>11</v>
      </c>
      <c r="K61" s="14" t="s">
        <v>12</v>
      </c>
      <c r="L61" s="15" t="s">
        <v>12</v>
      </c>
      <c r="M61" s="14" t="s">
        <v>13</v>
      </c>
      <c r="N61" s="40" t="s">
        <v>10</v>
      </c>
      <c r="O61" s="85" t="s">
        <v>96</v>
      </c>
      <c r="P61" s="17" t="s">
        <v>175</v>
      </c>
      <c r="Q61" s="84" t="s">
        <v>176</v>
      </c>
    </row>
    <row r="62" spans="1:17" ht="12.75">
      <c r="A62" s="11" t="s">
        <v>182</v>
      </c>
      <c r="B62" s="11" t="s">
        <v>81</v>
      </c>
      <c r="C62" s="65" t="s">
        <v>9</v>
      </c>
      <c r="D62" s="86" t="s">
        <v>10</v>
      </c>
      <c r="E62" s="14" t="s">
        <v>10</v>
      </c>
      <c r="F62" s="86" t="s">
        <v>10</v>
      </c>
      <c r="G62" s="14" t="s">
        <v>15</v>
      </c>
      <c r="H62" s="15" t="s">
        <v>15</v>
      </c>
      <c r="I62" s="14" t="s">
        <v>15</v>
      </c>
      <c r="J62" s="86" t="s">
        <v>10</v>
      </c>
      <c r="K62" s="39" t="s">
        <v>10</v>
      </c>
      <c r="L62" s="15" t="s">
        <v>15</v>
      </c>
      <c r="M62" s="14" t="s">
        <v>15</v>
      </c>
      <c r="N62" s="15" t="s">
        <v>15</v>
      </c>
      <c r="O62" s="17" t="s">
        <v>96</v>
      </c>
      <c r="P62" s="17"/>
      <c r="Q62" s="17" t="s">
        <v>185</v>
      </c>
    </row>
    <row r="63" spans="1:17" ht="12.75">
      <c r="A63" s="71" t="s">
        <v>177</v>
      </c>
      <c r="B63" s="11" t="s">
        <v>81</v>
      </c>
      <c r="C63" s="65" t="s">
        <v>9</v>
      </c>
      <c r="D63" s="86" t="s">
        <v>10</v>
      </c>
      <c r="E63" s="14" t="s">
        <v>10</v>
      </c>
      <c r="F63" s="86" t="s">
        <v>10</v>
      </c>
      <c r="G63" s="14" t="s">
        <v>15</v>
      </c>
      <c r="H63" s="15" t="s">
        <v>15</v>
      </c>
      <c r="I63" s="14" t="s">
        <v>15</v>
      </c>
      <c r="J63" s="86" t="s">
        <v>10</v>
      </c>
      <c r="K63" s="39" t="s">
        <v>10</v>
      </c>
      <c r="L63" s="15" t="s">
        <v>15</v>
      </c>
      <c r="M63" s="14" t="s">
        <v>15</v>
      </c>
      <c r="N63" s="40" t="s">
        <v>15</v>
      </c>
      <c r="O63" s="17" t="s">
        <v>96</v>
      </c>
      <c r="P63" s="17" t="s">
        <v>178</v>
      </c>
      <c r="Q63" s="17" t="s">
        <v>178</v>
      </c>
    </row>
    <row r="64" spans="1:17" ht="12.75">
      <c r="A64" s="78" t="s">
        <v>183</v>
      </c>
      <c r="B64" s="78" t="s">
        <v>81</v>
      </c>
      <c r="C64" s="79" t="s">
        <v>9</v>
      </c>
      <c r="D64" s="80" t="s">
        <v>10</v>
      </c>
      <c r="E64" s="81" t="s">
        <v>10</v>
      </c>
      <c r="F64" s="82" t="s">
        <v>12</v>
      </c>
      <c r="G64" s="81" t="s">
        <v>15</v>
      </c>
      <c r="H64" s="80" t="s">
        <v>15</v>
      </c>
      <c r="I64" s="81" t="s">
        <v>15</v>
      </c>
      <c r="J64" s="80" t="s">
        <v>15</v>
      </c>
      <c r="K64" s="81" t="s">
        <v>15</v>
      </c>
      <c r="L64" s="80" t="s">
        <v>15</v>
      </c>
      <c r="M64" s="81" t="s">
        <v>15</v>
      </c>
      <c r="N64" s="83" t="s">
        <v>15</v>
      </c>
      <c r="O64" s="78" t="s">
        <v>96</v>
      </c>
      <c r="P64" s="78"/>
      <c r="Q64" s="78" t="s">
        <v>127</v>
      </c>
    </row>
    <row r="65" spans="1:17" ht="12.75">
      <c r="A65" s="11" t="s">
        <v>155</v>
      </c>
      <c r="B65" s="11" t="s">
        <v>81</v>
      </c>
      <c r="C65" s="65" t="s">
        <v>9</v>
      </c>
      <c r="D65" s="15" t="s">
        <v>10</v>
      </c>
      <c r="E65" s="14" t="s">
        <v>10</v>
      </c>
      <c r="F65" s="41" t="s">
        <v>10</v>
      </c>
      <c r="G65" s="14" t="s">
        <v>12</v>
      </c>
      <c r="H65" s="15" t="s">
        <v>11</v>
      </c>
      <c r="I65" s="14" t="s">
        <v>13</v>
      </c>
      <c r="J65" s="15" t="s">
        <v>11</v>
      </c>
      <c r="K65" s="14" t="s">
        <v>11</v>
      </c>
      <c r="L65" s="15" t="s">
        <v>11</v>
      </c>
      <c r="M65" s="14" t="s">
        <v>13</v>
      </c>
      <c r="N65" s="40" t="s">
        <v>11</v>
      </c>
      <c r="O65" s="17" t="s">
        <v>96</v>
      </c>
      <c r="P65" s="17"/>
      <c r="Q65" s="17" t="s">
        <v>184</v>
      </c>
    </row>
    <row r="66" spans="1:17" ht="12.75">
      <c r="A66" s="11" t="s">
        <v>63</v>
      </c>
      <c r="B66" s="11" t="s">
        <v>81</v>
      </c>
      <c r="C66" s="65" t="s">
        <v>9</v>
      </c>
      <c r="D66" s="15" t="s">
        <v>10</v>
      </c>
      <c r="E66" s="14" t="s">
        <v>10</v>
      </c>
      <c r="F66" s="41" t="s">
        <v>12</v>
      </c>
      <c r="G66" s="14" t="s">
        <v>12</v>
      </c>
      <c r="H66" s="15" t="s">
        <v>11</v>
      </c>
      <c r="I66" s="14" t="s">
        <v>12</v>
      </c>
      <c r="J66" s="15" t="s">
        <v>10</v>
      </c>
      <c r="K66" s="14" t="s">
        <v>11</v>
      </c>
      <c r="L66" s="15" t="s">
        <v>11</v>
      </c>
      <c r="M66" s="14" t="s">
        <v>12</v>
      </c>
      <c r="N66" s="40" t="s">
        <v>10</v>
      </c>
      <c r="O66" s="17" t="s">
        <v>97</v>
      </c>
      <c r="P66" s="17"/>
      <c r="Q66" s="17" t="s">
        <v>138</v>
      </c>
    </row>
    <row r="67" spans="1:17" ht="12.75">
      <c r="A67" s="68" t="s">
        <v>64</v>
      </c>
      <c r="B67" s="66" t="s">
        <v>74</v>
      </c>
      <c r="C67" s="65" t="s">
        <v>9</v>
      </c>
      <c r="D67" s="15" t="s">
        <v>10</v>
      </c>
      <c r="E67" s="14" t="s">
        <v>10</v>
      </c>
      <c r="F67" s="41" t="s">
        <v>12</v>
      </c>
      <c r="G67" s="14" t="s">
        <v>12</v>
      </c>
      <c r="H67" s="15" t="s">
        <v>12</v>
      </c>
      <c r="I67" s="14" t="s">
        <v>12</v>
      </c>
      <c r="J67" s="15" t="s">
        <v>10</v>
      </c>
      <c r="K67" s="14" t="s">
        <v>12</v>
      </c>
      <c r="L67" s="15" t="s">
        <v>12</v>
      </c>
      <c r="M67" s="14" t="s">
        <v>12</v>
      </c>
      <c r="N67" s="40" t="s">
        <v>10</v>
      </c>
      <c r="O67" s="66" t="s">
        <v>97</v>
      </c>
      <c r="P67" s="66"/>
      <c r="Q67" s="66" t="s">
        <v>154</v>
      </c>
    </row>
    <row r="68" spans="1:17" ht="12.75">
      <c r="A68" s="11" t="s">
        <v>65</v>
      </c>
      <c r="B68" s="11" t="s">
        <v>81</v>
      </c>
      <c r="C68" s="65" t="s">
        <v>9</v>
      </c>
      <c r="D68" s="15" t="s">
        <v>10</v>
      </c>
      <c r="E68" s="14" t="s">
        <v>10</v>
      </c>
      <c r="F68" s="41" t="s">
        <v>10</v>
      </c>
      <c r="G68" s="14" t="s">
        <v>12</v>
      </c>
      <c r="H68" s="15" t="s">
        <v>11</v>
      </c>
      <c r="I68" s="14" t="s">
        <v>12</v>
      </c>
      <c r="J68" s="15" t="s">
        <v>10</v>
      </c>
      <c r="K68" s="14" t="s">
        <v>11</v>
      </c>
      <c r="L68" s="15" t="s">
        <v>11</v>
      </c>
      <c r="M68" s="14" t="s">
        <v>12</v>
      </c>
      <c r="N68" s="40" t="s">
        <v>11</v>
      </c>
      <c r="O68" s="17" t="s">
        <v>98</v>
      </c>
      <c r="P68" s="17"/>
      <c r="Q68" s="17" t="s">
        <v>138</v>
      </c>
    </row>
    <row r="69" spans="1:17" ht="12.75">
      <c r="A69" s="11" t="s">
        <v>66</v>
      </c>
      <c r="B69" s="11" t="s">
        <v>81</v>
      </c>
      <c r="C69" s="65" t="s">
        <v>9</v>
      </c>
      <c r="D69" s="15" t="s">
        <v>10</v>
      </c>
      <c r="E69" s="14" t="s">
        <v>10</v>
      </c>
      <c r="F69" s="41" t="s">
        <v>10</v>
      </c>
      <c r="G69" s="14" t="s">
        <v>12</v>
      </c>
      <c r="H69" s="15" t="s">
        <v>11</v>
      </c>
      <c r="I69" s="14" t="s">
        <v>12</v>
      </c>
      <c r="J69" s="15" t="s">
        <v>10</v>
      </c>
      <c r="K69" s="14" t="s">
        <v>11</v>
      </c>
      <c r="L69" s="15" t="s">
        <v>11</v>
      </c>
      <c r="M69" s="14" t="s">
        <v>12</v>
      </c>
      <c r="N69" s="40" t="s">
        <v>10</v>
      </c>
      <c r="O69" s="17" t="s">
        <v>98</v>
      </c>
      <c r="P69" s="17"/>
      <c r="Q69" s="17" t="s">
        <v>138</v>
      </c>
    </row>
    <row r="70" spans="1:17" ht="12.75">
      <c r="A70" s="66" t="s">
        <v>67</v>
      </c>
      <c r="B70" s="66" t="s">
        <v>74</v>
      </c>
      <c r="C70" s="65" t="s">
        <v>9</v>
      </c>
      <c r="D70" s="15" t="s">
        <v>10</v>
      </c>
      <c r="E70" s="14" t="s">
        <v>10</v>
      </c>
      <c r="F70" s="41" t="s">
        <v>10</v>
      </c>
      <c r="G70" s="14" t="s">
        <v>12</v>
      </c>
      <c r="H70" s="15" t="s">
        <v>12</v>
      </c>
      <c r="I70" s="14" t="s">
        <v>12</v>
      </c>
      <c r="J70" s="15" t="s">
        <v>10</v>
      </c>
      <c r="K70" s="14" t="s">
        <v>12</v>
      </c>
      <c r="L70" s="15" t="s">
        <v>12</v>
      </c>
      <c r="M70" s="14" t="s">
        <v>12</v>
      </c>
      <c r="N70" s="40" t="s">
        <v>10</v>
      </c>
      <c r="O70" s="66" t="s">
        <v>97</v>
      </c>
      <c r="P70" s="66"/>
      <c r="Q70" s="66" t="s">
        <v>138</v>
      </c>
    </row>
    <row r="71" spans="1:17" ht="12.75">
      <c r="A71" s="11" t="s">
        <v>68</v>
      </c>
      <c r="B71" s="11" t="s">
        <v>81</v>
      </c>
      <c r="C71" s="65" t="s">
        <v>9</v>
      </c>
      <c r="D71" s="15" t="s">
        <v>10</v>
      </c>
      <c r="E71" s="14" t="s">
        <v>10</v>
      </c>
      <c r="F71" s="41" t="s">
        <v>10</v>
      </c>
      <c r="G71" s="14" t="s">
        <v>12</v>
      </c>
      <c r="H71" s="15" t="s">
        <v>11</v>
      </c>
      <c r="I71" s="14" t="s">
        <v>12</v>
      </c>
      <c r="J71" s="15" t="s">
        <v>10</v>
      </c>
      <c r="K71" s="14" t="s">
        <v>11</v>
      </c>
      <c r="L71" s="15" t="s">
        <v>11</v>
      </c>
      <c r="M71" s="14" t="s">
        <v>12</v>
      </c>
      <c r="N71" s="40" t="s">
        <v>10</v>
      </c>
      <c r="O71" s="17" t="s">
        <v>89</v>
      </c>
      <c r="P71" s="17"/>
      <c r="Q71" s="11" t="s">
        <v>138</v>
      </c>
    </row>
    <row r="72" spans="1:17" ht="12.75">
      <c r="A72" s="11" t="s">
        <v>69</v>
      </c>
      <c r="B72" s="11" t="s">
        <v>81</v>
      </c>
      <c r="C72" s="65" t="s">
        <v>9</v>
      </c>
      <c r="D72" s="15" t="s">
        <v>10</v>
      </c>
      <c r="E72" s="14" t="s">
        <v>10</v>
      </c>
      <c r="F72" s="41" t="s">
        <v>10</v>
      </c>
      <c r="G72" s="14" t="s">
        <v>12</v>
      </c>
      <c r="H72" s="15" t="s">
        <v>12</v>
      </c>
      <c r="I72" s="14" t="s">
        <v>12</v>
      </c>
      <c r="J72" s="15" t="s">
        <v>12</v>
      </c>
      <c r="K72" s="14" t="s">
        <v>12</v>
      </c>
      <c r="L72" s="15" t="s">
        <v>12</v>
      </c>
      <c r="M72" s="14" t="s">
        <v>12</v>
      </c>
      <c r="N72" s="40" t="s">
        <v>11</v>
      </c>
      <c r="O72" s="17" t="s">
        <v>99</v>
      </c>
      <c r="P72" s="17"/>
      <c r="Q72" s="17" t="s">
        <v>150</v>
      </c>
    </row>
    <row r="73" spans="1:17" ht="12.75">
      <c r="A73" s="11" t="s">
        <v>70</v>
      </c>
      <c r="B73" s="11" t="s">
        <v>81</v>
      </c>
      <c r="C73" s="65" t="s">
        <v>9</v>
      </c>
      <c r="D73" s="15" t="s">
        <v>10</v>
      </c>
      <c r="E73" s="14" t="s">
        <v>10</v>
      </c>
      <c r="F73" s="41" t="s">
        <v>10</v>
      </c>
      <c r="G73" s="14" t="s">
        <v>12</v>
      </c>
      <c r="H73" s="15" t="s">
        <v>11</v>
      </c>
      <c r="I73" s="14" t="s">
        <v>12</v>
      </c>
      <c r="J73" s="15" t="s">
        <v>10</v>
      </c>
      <c r="K73" s="14" t="s">
        <v>11</v>
      </c>
      <c r="L73" s="15" t="s">
        <v>11</v>
      </c>
      <c r="M73" s="14" t="s">
        <v>12</v>
      </c>
      <c r="N73" s="40" t="s">
        <v>10</v>
      </c>
      <c r="O73" s="17" t="s">
        <v>100</v>
      </c>
      <c r="P73" s="17"/>
      <c r="Q73" s="17" t="s">
        <v>138</v>
      </c>
    </row>
    <row r="74" spans="1:17" ht="12.75">
      <c r="A74" s="63" t="s">
        <v>71</v>
      </c>
      <c r="B74" s="64" t="s">
        <v>82</v>
      </c>
      <c r="C74" s="65" t="s">
        <v>9</v>
      </c>
      <c r="D74" s="15" t="s">
        <v>15</v>
      </c>
      <c r="E74" s="14" t="s">
        <v>15</v>
      </c>
      <c r="F74" s="41" t="s">
        <v>15</v>
      </c>
      <c r="G74" s="26" t="s">
        <v>15</v>
      </c>
      <c r="H74" s="27" t="s">
        <v>15</v>
      </c>
      <c r="I74" s="14" t="s">
        <v>15</v>
      </c>
      <c r="J74" s="15" t="s">
        <v>15</v>
      </c>
      <c r="K74" s="14" t="s">
        <v>15</v>
      </c>
      <c r="L74" s="15" t="s">
        <v>15</v>
      </c>
      <c r="M74" s="14" t="s">
        <v>15</v>
      </c>
      <c r="N74" s="40" t="s">
        <v>15</v>
      </c>
      <c r="O74" s="64"/>
      <c r="P74" s="64"/>
      <c r="Q74" s="64" t="s">
        <v>102</v>
      </c>
    </row>
    <row r="75" spans="1:17" ht="12.75">
      <c r="A75" s="63" t="s">
        <v>72</v>
      </c>
      <c r="B75" s="64" t="s">
        <v>13</v>
      </c>
      <c r="C75" s="65" t="s">
        <v>16</v>
      </c>
      <c r="D75" s="15" t="s">
        <v>16</v>
      </c>
      <c r="E75" s="39" t="s">
        <v>16</v>
      </c>
      <c r="F75" s="41" t="s">
        <v>16</v>
      </c>
      <c r="G75" s="39" t="s">
        <v>16</v>
      </c>
      <c r="H75" s="15" t="s">
        <v>16</v>
      </c>
      <c r="I75" s="39" t="s">
        <v>16</v>
      </c>
      <c r="J75" s="15" t="s">
        <v>16</v>
      </c>
      <c r="K75" s="39" t="s">
        <v>16</v>
      </c>
      <c r="L75" s="15" t="s">
        <v>16</v>
      </c>
      <c r="M75" s="39" t="s">
        <v>16</v>
      </c>
      <c r="N75" s="40" t="s">
        <v>16</v>
      </c>
      <c r="O75" s="64"/>
      <c r="P75" s="64"/>
      <c r="Q75" s="64" t="s">
        <v>101</v>
      </c>
    </row>
    <row r="76" spans="1:17" ht="12.75">
      <c r="A76" s="63" t="s">
        <v>73</v>
      </c>
      <c r="B76" s="64" t="s">
        <v>82</v>
      </c>
      <c r="C76" s="65" t="s">
        <v>9</v>
      </c>
      <c r="D76" s="15" t="s">
        <v>15</v>
      </c>
      <c r="E76" s="14" t="s">
        <v>10</v>
      </c>
      <c r="F76" s="41" t="s">
        <v>10</v>
      </c>
      <c r="G76" s="26" t="s">
        <v>15</v>
      </c>
      <c r="H76" s="27" t="s">
        <v>15</v>
      </c>
      <c r="I76" s="14" t="s">
        <v>15</v>
      </c>
      <c r="J76" s="15" t="s">
        <v>15</v>
      </c>
      <c r="K76" s="14" t="s">
        <v>15</v>
      </c>
      <c r="L76" s="15" t="s">
        <v>15</v>
      </c>
      <c r="M76" s="14" t="s">
        <v>15</v>
      </c>
      <c r="N76" s="40" t="s">
        <v>15</v>
      </c>
      <c r="O76" s="64"/>
      <c r="P76" s="64"/>
      <c r="Q76" s="64" t="s">
        <v>103</v>
      </c>
    </row>
    <row r="77" ht="12.75">
      <c r="A77" s="20"/>
    </row>
    <row r="78" ht="12.75">
      <c r="Q78" s="62"/>
    </row>
    <row r="79" ht="12.75">
      <c r="Q79" s="32"/>
    </row>
    <row r="80" ht="12.75">
      <c r="Q80" s="37"/>
    </row>
    <row r="81" ht="12.75">
      <c r="Q81" s="37"/>
    </row>
    <row r="82" ht="12.75">
      <c r="Q82" s="38"/>
    </row>
  </sheetData>
  <sheetProtection/>
  <mergeCells count="17">
    <mergeCell ref="Q7:Q18"/>
    <mergeCell ref="H4:H18"/>
    <mergeCell ref="I4:I18"/>
    <mergeCell ref="J4:J18"/>
    <mergeCell ref="K4:K18"/>
    <mergeCell ref="L4:L18"/>
    <mergeCell ref="M4:M18"/>
    <mergeCell ref="A1:Q2"/>
    <mergeCell ref="A4:A6"/>
    <mergeCell ref="C4:C18"/>
    <mergeCell ref="D4:D18"/>
    <mergeCell ref="E4:E18"/>
    <mergeCell ref="F4:F18"/>
    <mergeCell ref="G4:G18"/>
    <mergeCell ref="N4:N18"/>
    <mergeCell ref="P7:P18"/>
    <mergeCell ref="C3:N3"/>
  </mergeCells>
  <printOptions/>
  <pageMargins left="0.25" right="0.25" top="0.5" bottom="0.5" header="0.5" footer="0.5"/>
  <pageSetup fitToHeight="0" fitToWidth="1" horizontalDpi="600" verticalDpi="600" orientation="landscape" scale="72" r:id="rId4"/>
  <headerFooter alignWithMargins="0">
    <oddHeader>&amp;C&amp;50&amp;K00-010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10" width="11.28125" style="0" customWidth="1"/>
    <col min="11" max="11" width="30.140625" style="0" customWidth="1"/>
  </cols>
  <sheetData>
    <row r="1" spans="1:12" ht="20.25">
      <c r="A1" s="18"/>
      <c r="B1" s="116" t="s">
        <v>110</v>
      </c>
      <c r="C1" s="117"/>
      <c r="D1" s="117"/>
      <c r="E1" s="117"/>
      <c r="F1" s="117"/>
      <c r="G1" s="117"/>
      <c r="H1" s="117"/>
      <c r="I1" s="117"/>
      <c r="J1" s="118"/>
      <c r="K1" s="19"/>
      <c r="L1" s="19"/>
    </row>
    <row r="2" spans="1:12" ht="21" thickBot="1">
      <c r="A2" s="19"/>
      <c r="B2" s="119"/>
      <c r="C2" s="120"/>
      <c r="D2" s="120"/>
      <c r="E2" s="120"/>
      <c r="F2" s="120"/>
      <c r="G2" s="120"/>
      <c r="H2" s="120"/>
      <c r="I2" s="120"/>
      <c r="J2" s="121"/>
      <c r="K2" s="19"/>
      <c r="L2" s="19"/>
    </row>
    <row r="4" spans="2:10" ht="12.75">
      <c r="B4" s="126" t="s">
        <v>32</v>
      </c>
      <c r="C4" s="126"/>
      <c r="D4" s="127"/>
      <c r="E4" s="128" t="s">
        <v>31</v>
      </c>
      <c r="F4" s="129"/>
      <c r="G4" s="129"/>
      <c r="H4" s="129"/>
      <c r="I4" s="129"/>
      <c r="J4" s="129"/>
    </row>
    <row r="5" spans="1:11" ht="20.25" customHeight="1">
      <c r="A5" s="4" t="s">
        <v>8</v>
      </c>
      <c r="B5" s="134" t="s">
        <v>0</v>
      </c>
      <c r="C5" s="134" t="s">
        <v>1</v>
      </c>
      <c r="D5" s="136" t="s">
        <v>2</v>
      </c>
      <c r="E5" s="114" t="s">
        <v>3</v>
      </c>
      <c r="F5" s="130" t="s">
        <v>18</v>
      </c>
      <c r="G5" s="132" t="s">
        <v>19</v>
      </c>
      <c r="H5" s="130" t="s">
        <v>4</v>
      </c>
      <c r="I5" s="130" t="s">
        <v>5</v>
      </c>
      <c r="J5" s="122" t="s">
        <v>6</v>
      </c>
      <c r="K5" s="124" t="s">
        <v>22</v>
      </c>
    </row>
    <row r="6" spans="1:11" s="2" customFormat="1" ht="20.25" customHeight="1">
      <c r="A6" s="21" t="s">
        <v>7</v>
      </c>
      <c r="B6" s="135"/>
      <c r="C6" s="135"/>
      <c r="D6" s="137"/>
      <c r="E6" s="115"/>
      <c r="F6" s="131"/>
      <c r="G6" s="133"/>
      <c r="H6" s="131"/>
      <c r="I6" s="131"/>
      <c r="J6" s="123"/>
      <c r="K6" s="125"/>
    </row>
    <row r="7" spans="1:11" s="3" customFormat="1" ht="26.25">
      <c r="A7" s="22" t="s">
        <v>9</v>
      </c>
      <c r="B7" s="5" t="s">
        <v>17</v>
      </c>
      <c r="C7" s="5" t="s">
        <v>17</v>
      </c>
      <c r="D7" s="9" t="s">
        <v>17</v>
      </c>
      <c r="E7" s="8" t="s">
        <v>17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20</v>
      </c>
      <c r="K7" s="7" t="s">
        <v>23</v>
      </c>
    </row>
    <row r="8" spans="1:11" s="3" customFormat="1" ht="26.25">
      <c r="A8" s="22" t="s">
        <v>10</v>
      </c>
      <c r="B8" s="5" t="s">
        <v>17</v>
      </c>
      <c r="C8" s="5" t="s">
        <v>17</v>
      </c>
      <c r="D8" s="9" t="s">
        <v>17</v>
      </c>
      <c r="E8" s="8" t="s">
        <v>17</v>
      </c>
      <c r="F8" s="5" t="s">
        <v>17</v>
      </c>
      <c r="G8" s="5" t="s">
        <v>17</v>
      </c>
      <c r="H8" s="5" t="s">
        <v>17</v>
      </c>
      <c r="I8" s="5" t="s">
        <v>20</v>
      </c>
      <c r="J8" s="5" t="s">
        <v>20</v>
      </c>
      <c r="K8" s="6" t="s">
        <v>24</v>
      </c>
    </row>
    <row r="9" spans="1:11" s="3" customFormat="1" ht="26.25">
      <c r="A9" s="22" t="s">
        <v>11</v>
      </c>
      <c r="B9" s="5" t="s">
        <v>17</v>
      </c>
      <c r="C9" s="5" t="s">
        <v>17</v>
      </c>
      <c r="D9" s="9" t="s">
        <v>17</v>
      </c>
      <c r="E9" s="8" t="s">
        <v>17</v>
      </c>
      <c r="F9" s="5" t="s">
        <v>17</v>
      </c>
      <c r="G9" s="5" t="s">
        <v>17</v>
      </c>
      <c r="H9" s="5" t="s">
        <v>20</v>
      </c>
      <c r="I9" s="5" t="s">
        <v>20</v>
      </c>
      <c r="J9" s="5" t="s">
        <v>20</v>
      </c>
      <c r="K9" s="6" t="s">
        <v>25</v>
      </c>
    </row>
    <row r="10" spans="1:11" s="3" customFormat="1" ht="26.25">
      <c r="A10" s="22" t="s">
        <v>12</v>
      </c>
      <c r="B10" s="5" t="s">
        <v>17</v>
      </c>
      <c r="C10" s="5" t="s">
        <v>17</v>
      </c>
      <c r="D10" s="9" t="s">
        <v>17</v>
      </c>
      <c r="E10" s="8" t="s">
        <v>17</v>
      </c>
      <c r="F10" s="5" t="s">
        <v>21</v>
      </c>
      <c r="G10" s="5" t="s">
        <v>21</v>
      </c>
      <c r="H10" s="5" t="s">
        <v>20</v>
      </c>
      <c r="I10" s="5" t="s">
        <v>20</v>
      </c>
      <c r="J10" s="5" t="s">
        <v>20</v>
      </c>
      <c r="K10" s="6" t="s">
        <v>26</v>
      </c>
    </row>
    <row r="11" spans="1:11" s="3" customFormat="1" ht="26.25">
      <c r="A11" s="22" t="s">
        <v>13</v>
      </c>
      <c r="B11" s="5" t="s">
        <v>17</v>
      </c>
      <c r="C11" s="5" t="s">
        <v>17</v>
      </c>
      <c r="D11" s="9" t="s">
        <v>17</v>
      </c>
      <c r="E11" s="8" t="s">
        <v>20</v>
      </c>
      <c r="F11" s="5" t="s">
        <v>20</v>
      </c>
      <c r="G11" s="5" t="s">
        <v>20</v>
      </c>
      <c r="H11" s="5" t="s">
        <v>20</v>
      </c>
      <c r="I11" s="5" t="s">
        <v>20</v>
      </c>
      <c r="J11" s="5" t="s">
        <v>20</v>
      </c>
      <c r="K11" s="6" t="s">
        <v>27</v>
      </c>
    </row>
    <row r="12" spans="1:11" s="3" customFormat="1" ht="26.25">
      <c r="A12" s="22" t="s">
        <v>14</v>
      </c>
      <c r="B12" s="5" t="s">
        <v>17</v>
      </c>
      <c r="C12" s="5" t="s">
        <v>17</v>
      </c>
      <c r="D12" s="9" t="s">
        <v>20</v>
      </c>
      <c r="E12" s="8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6" t="s">
        <v>28</v>
      </c>
    </row>
    <row r="13" spans="1:11" s="3" customFormat="1" ht="26.25">
      <c r="A13" s="22" t="s">
        <v>15</v>
      </c>
      <c r="B13" s="5" t="s">
        <v>17</v>
      </c>
      <c r="C13" s="5" t="s">
        <v>20</v>
      </c>
      <c r="D13" s="9" t="s">
        <v>20</v>
      </c>
      <c r="E13" s="8" t="s">
        <v>20</v>
      </c>
      <c r="F13" s="5" t="s">
        <v>20</v>
      </c>
      <c r="G13" s="5" t="s">
        <v>20</v>
      </c>
      <c r="H13" s="5" t="s">
        <v>20</v>
      </c>
      <c r="I13" s="5" t="s">
        <v>20</v>
      </c>
      <c r="J13" s="5" t="s">
        <v>20</v>
      </c>
      <c r="K13" s="6" t="s">
        <v>29</v>
      </c>
    </row>
    <row r="14" spans="1:11" s="3" customFormat="1" ht="26.25">
      <c r="A14" s="22" t="s">
        <v>16</v>
      </c>
      <c r="B14" s="5" t="s">
        <v>20</v>
      </c>
      <c r="C14" s="5" t="s">
        <v>20</v>
      </c>
      <c r="D14" s="9" t="s">
        <v>20</v>
      </c>
      <c r="E14" s="8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6" t="s">
        <v>30</v>
      </c>
    </row>
    <row r="16" ht="12.75">
      <c r="A16" s="1" t="s">
        <v>104</v>
      </c>
    </row>
    <row r="20" ht="12.75">
      <c r="F20" s="12"/>
    </row>
    <row r="21" ht="12.75">
      <c r="F21" s="13"/>
    </row>
  </sheetData>
  <sheetProtection/>
  <mergeCells count="13">
    <mergeCell ref="B5:B6"/>
    <mergeCell ref="C5:C6"/>
    <mergeCell ref="D5:D6"/>
    <mergeCell ref="E5:E6"/>
    <mergeCell ref="B1:J2"/>
    <mergeCell ref="J5:J6"/>
    <mergeCell ref="K5:K6"/>
    <mergeCell ref="B4:D4"/>
    <mergeCell ref="E4:J4"/>
    <mergeCell ref="F5:F6"/>
    <mergeCell ref="G5:G6"/>
    <mergeCell ref="H5:H6"/>
    <mergeCell ref="I5:I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EC11" sqref="EC11"/>
    </sheetView>
  </sheetViews>
  <sheetFormatPr defaultColWidth="9.140625" defaultRowHeight="12.75"/>
  <sheetData>
    <row r="1" spans="1:256" ht="12.75">
      <c r="A1">
        <f>IF('MATRIX - Case Level'!2:2,"AAAAAHf/fQA=",0)</f>
        <v>0</v>
      </c>
      <c r="B1" t="e">
        <f>AND('MATRIX - Case Level'!#REF!,"AAAAAHf/fQE=")</f>
        <v>#REF!</v>
      </c>
      <c r="C1" t="e">
        <f>AND('MATRIX - Case Level'!B2,"AAAAAHf/fQI=")</f>
        <v>#VALUE!</v>
      </c>
      <c r="D1" t="e">
        <f>AND('MATRIX - Case Level'!A1,"AAAAAHf/fQM=")</f>
        <v>#VALUE!</v>
      </c>
      <c r="E1" t="e">
        <f>AND('MATRIX - Case Level'!#REF!,"AAAAAHf/fQQ=")</f>
        <v>#REF!</v>
      </c>
      <c r="F1" t="e">
        <f>AND('MATRIX - Case Level'!D2,"AAAAAHf/fQU=")</f>
        <v>#VALUE!</v>
      </c>
      <c r="G1" t="e">
        <f>AND('MATRIX - Case Level'!E2,"AAAAAHf/fQY=")</f>
        <v>#VALUE!</v>
      </c>
      <c r="H1" t="e">
        <f>AND('MATRIX - Case Level'!F2,"AAAAAHf/fQc=")</f>
        <v>#VALUE!</v>
      </c>
      <c r="I1" t="e">
        <f>AND('MATRIX - Case Level'!G2,"AAAAAHf/fQg=")</f>
        <v>#VALUE!</v>
      </c>
      <c r="J1" t="e">
        <f>AND('MATRIX - Case Level'!H2,"AAAAAHf/fQk=")</f>
        <v>#VALUE!</v>
      </c>
      <c r="K1" t="e">
        <f>AND('MATRIX - Case Level'!I2,"AAAAAHf/fQo=")</f>
        <v>#VALUE!</v>
      </c>
      <c r="L1" t="e">
        <f>AND('MATRIX - Case Level'!J2,"AAAAAHf/fQs=")</f>
        <v>#VALUE!</v>
      </c>
      <c r="M1" t="e">
        <f>AND('MATRIX - Case Level'!K2,"AAAAAHf/fQw=")</f>
        <v>#VALUE!</v>
      </c>
      <c r="N1" t="e">
        <f>AND('MATRIX - Case Level'!L2,"AAAAAHf/fQ0=")</f>
        <v>#VALUE!</v>
      </c>
      <c r="O1" t="e">
        <f>AND('MATRIX - Case Level'!#REF!,"AAAAAHf/fQ4=")</f>
        <v>#REF!</v>
      </c>
      <c r="P1" t="e">
        <f>AND('MATRIX - Case Level'!O2,"AAAAAHf/fQ8=")</f>
        <v>#VALUE!</v>
      </c>
      <c r="Q1" t="e">
        <f>AND('MATRIX - Case Level'!P2,"AAAAAHf/fRA=")</f>
        <v>#VALUE!</v>
      </c>
      <c r="R1" t="e">
        <f>AND('MATRIX - Case Level'!Q2,"AAAAAHf/fRE=")</f>
        <v>#VALUE!</v>
      </c>
      <c r="S1" t="e">
        <f>AND('MATRIX - Case Level'!#REF!,"AAAAAHf/fRI=")</f>
        <v>#REF!</v>
      </c>
      <c r="T1" t="e">
        <f>AND('MATRIX - Case Level'!#REF!,"AAAAAHf/fRM=")</f>
        <v>#REF!</v>
      </c>
      <c r="U1" t="e">
        <f>IF('MATRIX - Case Level'!#REF!,"AAAAAHf/fRQ=",0)</f>
        <v>#REF!</v>
      </c>
      <c r="V1" t="e">
        <f>AND('MATRIX - Case Level'!#REF!,"AAAAAHf/fRU=")</f>
        <v>#REF!</v>
      </c>
      <c r="W1" t="e">
        <f>AND('MATRIX - Case Level'!#REF!,"AAAAAHf/fRY=")</f>
        <v>#REF!</v>
      </c>
      <c r="X1" t="e">
        <f>AND('MATRIX - Case Level'!#REF!,"AAAAAHf/fRc=")</f>
        <v>#REF!</v>
      </c>
      <c r="Y1" t="e">
        <f>AND('MATRIX - Case Level'!#REF!,"AAAAAHf/fRg=")</f>
        <v>#REF!</v>
      </c>
      <c r="Z1" t="e">
        <f>AND('MATRIX - Case Level'!#REF!,"AAAAAHf/fRk=")</f>
        <v>#REF!</v>
      </c>
      <c r="AA1" t="e">
        <f>AND('MATRIX - Case Level'!#REF!,"AAAAAHf/fRo=")</f>
        <v>#REF!</v>
      </c>
      <c r="AB1" t="e">
        <f>AND('MATRIX - Case Level'!#REF!,"AAAAAHf/fRs=")</f>
        <v>#REF!</v>
      </c>
      <c r="AC1" t="e">
        <f>AND('MATRIX - Case Level'!#REF!,"AAAAAHf/fRw=")</f>
        <v>#REF!</v>
      </c>
      <c r="AD1" t="e">
        <f>AND('MATRIX - Case Level'!#REF!,"AAAAAHf/fR0=")</f>
        <v>#REF!</v>
      </c>
      <c r="AE1" t="e">
        <f>AND('MATRIX - Case Level'!#REF!,"AAAAAHf/fR4=")</f>
        <v>#REF!</v>
      </c>
      <c r="AF1" t="e">
        <f>AND('MATRIX - Case Level'!#REF!,"AAAAAHf/fR8=")</f>
        <v>#REF!</v>
      </c>
      <c r="AG1" t="e">
        <f>AND('MATRIX - Case Level'!#REF!,"AAAAAHf/fSA=")</f>
        <v>#REF!</v>
      </c>
      <c r="AH1" t="e">
        <f>AND('MATRIX - Case Level'!#REF!,"AAAAAHf/fSE=")</f>
        <v>#REF!</v>
      </c>
      <c r="AI1" t="e">
        <f>AND('MATRIX - Case Level'!#REF!,"AAAAAHf/fSI=")</f>
        <v>#REF!</v>
      </c>
      <c r="AJ1" t="e">
        <f>AND('MATRIX - Case Level'!#REF!,"AAAAAHf/fSM=")</f>
        <v>#REF!</v>
      </c>
      <c r="AK1" t="e">
        <f>AND('MATRIX - Case Level'!#REF!,"AAAAAHf/fSQ=")</f>
        <v>#REF!</v>
      </c>
      <c r="AL1" t="e">
        <f>AND('MATRIX - Case Level'!#REF!,"AAAAAHf/fSU=")</f>
        <v>#REF!</v>
      </c>
      <c r="AM1" t="e">
        <f>AND('MATRIX - Case Level'!#REF!,"AAAAAHf/fSY=")</f>
        <v>#REF!</v>
      </c>
      <c r="AN1" t="e">
        <f>AND('MATRIX - Case Level'!#REF!,"AAAAAHf/fSc=")</f>
        <v>#REF!</v>
      </c>
      <c r="AO1" t="e">
        <f>IF('MATRIX - Case Level'!#REF!,"AAAAAHf/fSg=",0)</f>
        <v>#REF!</v>
      </c>
      <c r="AP1" t="e">
        <f>AND('MATRIX - Case Level'!#REF!,"AAAAAHf/fSk=")</f>
        <v>#REF!</v>
      </c>
      <c r="AQ1" t="e">
        <f>AND('MATRIX - Case Level'!#REF!,"AAAAAHf/fSo=")</f>
        <v>#REF!</v>
      </c>
      <c r="AR1" t="e">
        <f>AND('MATRIX - Case Level'!#REF!,"AAAAAHf/fSs=")</f>
        <v>#REF!</v>
      </c>
      <c r="AS1" t="e">
        <f>AND('MATRIX - Case Level'!#REF!,"AAAAAHf/fSw=")</f>
        <v>#REF!</v>
      </c>
      <c r="AT1" t="e">
        <f>AND('MATRIX - Case Level'!#REF!,"AAAAAHf/fS0=")</f>
        <v>#REF!</v>
      </c>
      <c r="AU1" t="e">
        <f>AND('MATRIX - Case Level'!#REF!,"AAAAAHf/fS4=")</f>
        <v>#REF!</v>
      </c>
      <c r="AV1" t="e">
        <f>AND('MATRIX - Case Level'!#REF!,"AAAAAHf/fS8=")</f>
        <v>#REF!</v>
      </c>
      <c r="AW1" t="e">
        <f>AND('MATRIX - Case Level'!#REF!,"AAAAAHf/fTA=")</f>
        <v>#REF!</v>
      </c>
      <c r="AX1" t="e">
        <f>AND('MATRIX - Case Level'!#REF!,"AAAAAHf/fTE=")</f>
        <v>#REF!</v>
      </c>
      <c r="AY1" t="e">
        <f>AND('MATRIX - Case Level'!#REF!,"AAAAAHf/fTI=")</f>
        <v>#REF!</v>
      </c>
      <c r="AZ1" t="e">
        <f>AND('MATRIX - Case Level'!#REF!,"AAAAAHf/fTM=")</f>
        <v>#REF!</v>
      </c>
      <c r="BA1" t="e">
        <f>AND('MATRIX - Case Level'!#REF!,"AAAAAHf/fTQ=")</f>
        <v>#REF!</v>
      </c>
      <c r="BB1" t="e">
        <f>AND('MATRIX - Case Level'!#REF!,"AAAAAHf/fTU=")</f>
        <v>#REF!</v>
      </c>
      <c r="BC1" t="e">
        <f>AND('MATRIX - Case Level'!#REF!,"AAAAAHf/fTY=")</f>
        <v>#REF!</v>
      </c>
      <c r="BD1" t="e">
        <f>AND('MATRIX - Case Level'!#REF!,"AAAAAHf/fTc=")</f>
        <v>#REF!</v>
      </c>
      <c r="BE1" t="e">
        <f>AND('MATRIX - Case Level'!#REF!,"AAAAAHf/fTg=")</f>
        <v>#REF!</v>
      </c>
      <c r="BF1" t="e">
        <f>AND('MATRIX - Case Level'!#REF!,"AAAAAHf/fTk=")</f>
        <v>#REF!</v>
      </c>
      <c r="BG1" t="e">
        <f>AND('MATRIX - Case Level'!#REF!,"AAAAAHf/fTo=")</f>
        <v>#REF!</v>
      </c>
      <c r="BH1" t="e">
        <f>AND('MATRIX - Case Level'!#REF!,"AAAAAHf/fTs=")</f>
        <v>#REF!</v>
      </c>
      <c r="BI1" t="e">
        <f>IF('MATRIX - Case Level'!#REF!,"AAAAAHf/fTw=",0)</f>
        <v>#REF!</v>
      </c>
      <c r="BJ1" t="e">
        <f>AND('MATRIX - Case Level'!#REF!,"AAAAAHf/fT0=")</f>
        <v>#REF!</v>
      </c>
      <c r="BK1" t="e">
        <f>AND('MATRIX - Case Level'!#REF!,"AAAAAHf/fT4=")</f>
        <v>#REF!</v>
      </c>
      <c r="BL1" t="e">
        <f>AND('MATRIX - Case Level'!#REF!,"AAAAAHf/fT8=")</f>
        <v>#REF!</v>
      </c>
      <c r="BM1" t="e">
        <f>AND('MATRIX - Case Level'!#REF!,"AAAAAHf/fUA=")</f>
        <v>#REF!</v>
      </c>
      <c r="BN1" t="e">
        <f>AND('MATRIX - Case Level'!#REF!,"AAAAAHf/fUE=")</f>
        <v>#REF!</v>
      </c>
      <c r="BO1" t="e">
        <f>AND('MATRIX - Case Level'!#REF!,"AAAAAHf/fUI=")</f>
        <v>#REF!</v>
      </c>
      <c r="BP1" t="e">
        <f>AND('MATRIX - Case Level'!#REF!,"AAAAAHf/fUM=")</f>
        <v>#REF!</v>
      </c>
      <c r="BQ1" t="e">
        <f>AND('MATRIX - Case Level'!#REF!,"AAAAAHf/fUQ=")</f>
        <v>#REF!</v>
      </c>
      <c r="BR1" t="e">
        <f>AND('MATRIX - Case Level'!#REF!,"AAAAAHf/fUU=")</f>
        <v>#REF!</v>
      </c>
      <c r="BS1" t="e">
        <f>AND('MATRIX - Case Level'!#REF!,"AAAAAHf/fUY=")</f>
        <v>#REF!</v>
      </c>
      <c r="BT1" t="e">
        <f>AND('MATRIX - Case Level'!#REF!,"AAAAAHf/fUc=")</f>
        <v>#REF!</v>
      </c>
      <c r="BU1" t="e">
        <f>AND('MATRIX - Case Level'!#REF!,"AAAAAHf/fUg=")</f>
        <v>#REF!</v>
      </c>
      <c r="BV1" t="e">
        <f>AND('MATRIX - Case Level'!#REF!,"AAAAAHf/fUk=")</f>
        <v>#REF!</v>
      </c>
      <c r="BW1" t="e">
        <f>AND('MATRIX - Case Level'!#REF!,"AAAAAHf/fUo=")</f>
        <v>#REF!</v>
      </c>
      <c r="BX1" t="e">
        <f>AND('MATRIX - Case Level'!#REF!,"AAAAAHf/fUs=")</f>
        <v>#REF!</v>
      </c>
      <c r="BY1" t="e">
        <f>AND('MATRIX - Case Level'!#REF!,"AAAAAHf/fUw=")</f>
        <v>#REF!</v>
      </c>
      <c r="BZ1" t="e">
        <f>AND('MATRIX - Case Level'!#REF!,"AAAAAHf/fU0=")</f>
        <v>#REF!</v>
      </c>
      <c r="CA1" t="e">
        <f>AND('MATRIX - Case Level'!#REF!,"AAAAAHf/fU4=")</f>
        <v>#REF!</v>
      </c>
      <c r="CB1" t="e">
        <f>AND('MATRIX - Case Level'!#REF!,"AAAAAHf/fU8=")</f>
        <v>#REF!</v>
      </c>
      <c r="CC1" t="e">
        <f>IF('MATRIX - Case Level'!#REF!,"AAAAAHf/fVA=",0)</f>
        <v>#REF!</v>
      </c>
      <c r="CD1" t="e">
        <f>AND('MATRIX - Case Level'!#REF!,"AAAAAHf/fVE=")</f>
        <v>#REF!</v>
      </c>
      <c r="CE1" t="e">
        <f>AND('MATRIX - Case Level'!#REF!,"AAAAAHf/fVI=")</f>
        <v>#REF!</v>
      </c>
      <c r="CF1" t="e">
        <f>AND('MATRIX - Case Level'!#REF!,"AAAAAHf/fVM=")</f>
        <v>#REF!</v>
      </c>
      <c r="CG1" t="e">
        <f>AND('MATRIX - Case Level'!#REF!,"AAAAAHf/fVQ=")</f>
        <v>#REF!</v>
      </c>
      <c r="CH1" t="e">
        <f>AND('MATRIX - Case Level'!#REF!,"AAAAAHf/fVU=")</f>
        <v>#REF!</v>
      </c>
      <c r="CI1" t="e">
        <f>AND('MATRIX - Case Level'!#REF!,"AAAAAHf/fVY=")</f>
        <v>#REF!</v>
      </c>
      <c r="CJ1" t="e">
        <f>AND('MATRIX - Case Level'!#REF!,"AAAAAHf/fVc=")</f>
        <v>#REF!</v>
      </c>
      <c r="CK1" t="e">
        <f>AND('MATRIX - Case Level'!#REF!,"AAAAAHf/fVg=")</f>
        <v>#REF!</v>
      </c>
      <c r="CL1" t="e">
        <f>AND('MATRIX - Case Level'!#REF!,"AAAAAHf/fVk=")</f>
        <v>#REF!</v>
      </c>
      <c r="CM1" t="e">
        <f>AND('MATRIX - Case Level'!#REF!,"AAAAAHf/fVo=")</f>
        <v>#REF!</v>
      </c>
      <c r="CN1" t="e">
        <f>AND('MATRIX - Case Level'!#REF!,"AAAAAHf/fVs=")</f>
        <v>#REF!</v>
      </c>
      <c r="CO1" t="e">
        <f>AND('MATRIX - Case Level'!#REF!,"AAAAAHf/fVw=")</f>
        <v>#REF!</v>
      </c>
      <c r="CP1" t="e">
        <f>AND('MATRIX - Case Level'!#REF!,"AAAAAHf/fV0=")</f>
        <v>#REF!</v>
      </c>
      <c r="CQ1" t="e">
        <f>AND('MATRIX - Case Level'!#REF!,"AAAAAHf/fV4=")</f>
        <v>#REF!</v>
      </c>
      <c r="CR1" t="e">
        <f>AND('MATRIX - Case Level'!#REF!,"AAAAAHf/fV8=")</f>
        <v>#REF!</v>
      </c>
      <c r="CS1" t="e">
        <f>AND('MATRIX - Case Level'!#REF!,"AAAAAHf/fWA=")</f>
        <v>#REF!</v>
      </c>
      <c r="CT1" t="e">
        <f>AND('MATRIX - Case Level'!#REF!,"AAAAAHf/fWE=")</f>
        <v>#REF!</v>
      </c>
      <c r="CU1" t="e">
        <f>AND('MATRIX - Case Level'!#REF!,"AAAAAHf/fWI=")</f>
        <v>#REF!</v>
      </c>
      <c r="CV1" t="e">
        <f>AND('MATRIX - Case Level'!#REF!,"AAAAAHf/fWM=")</f>
        <v>#REF!</v>
      </c>
      <c r="CW1" t="e">
        <f>IF('MATRIX - Case Level'!#REF!,"AAAAAHf/fWQ=",0)</f>
        <v>#REF!</v>
      </c>
      <c r="CX1" t="e">
        <f>AND('MATRIX - Case Level'!#REF!,"AAAAAHf/fWU=")</f>
        <v>#REF!</v>
      </c>
      <c r="CY1" t="e">
        <f>AND('MATRIX - Case Level'!#REF!,"AAAAAHf/fWY=")</f>
        <v>#REF!</v>
      </c>
      <c r="CZ1" t="e">
        <f>AND('MATRIX - Case Level'!#REF!,"AAAAAHf/fWc=")</f>
        <v>#REF!</v>
      </c>
      <c r="DA1" t="e">
        <f>AND('MATRIX - Case Level'!#REF!,"AAAAAHf/fWg=")</f>
        <v>#REF!</v>
      </c>
      <c r="DB1" t="e">
        <f>AND('MATRIX - Case Level'!#REF!,"AAAAAHf/fWk=")</f>
        <v>#REF!</v>
      </c>
      <c r="DC1" t="e">
        <f>AND('MATRIX - Case Level'!#REF!,"AAAAAHf/fWo=")</f>
        <v>#REF!</v>
      </c>
      <c r="DD1" t="e">
        <f>AND('MATRIX - Case Level'!#REF!,"AAAAAHf/fWs=")</f>
        <v>#REF!</v>
      </c>
      <c r="DE1" t="e">
        <f>AND('MATRIX - Case Level'!#REF!,"AAAAAHf/fWw=")</f>
        <v>#REF!</v>
      </c>
      <c r="DF1" t="e">
        <f>AND('MATRIX - Case Level'!#REF!,"AAAAAHf/fW0=")</f>
        <v>#REF!</v>
      </c>
      <c r="DG1" t="e">
        <f>AND('MATRIX - Case Level'!#REF!,"AAAAAHf/fW4=")</f>
        <v>#REF!</v>
      </c>
      <c r="DH1" t="e">
        <f>AND('MATRIX - Case Level'!#REF!,"AAAAAHf/fW8=")</f>
        <v>#REF!</v>
      </c>
      <c r="DI1" t="e">
        <f>AND('MATRIX - Case Level'!#REF!,"AAAAAHf/fXA=")</f>
        <v>#REF!</v>
      </c>
      <c r="DJ1" t="e">
        <f>AND('MATRIX - Case Level'!#REF!,"AAAAAHf/fXE=")</f>
        <v>#REF!</v>
      </c>
      <c r="DK1" t="e">
        <f>AND('MATRIX - Case Level'!#REF!,"AAAAAHf/fXI=")</f>
        <v>#REF!</v>
      </c>
      <c r="DL1" t="e">
        <f>AND('MATRIX - Case Level'!#REF!,"AAAAAHf/fXM=")</f>
        <v>#REF!</v>
      </c>
      <c r="DM1" t="e">
        <f>AND('MATRIX - Case Level'!#REF!,"AAAAAHf/fXQ=")</f>
        <v>#REF!</v>
      </c>
      <c r="DN1" t="e">
        <f>AND('MATRIX - Case Level'!#REF!,"AAAAAHf/fXU=")</f>
        <v>#REF!</v>
      </c>
      <c r="DO1" t="e">
        <f>AND('MATRIX - Case Level'!#REF!,"AAAAAHf/fXY=")</f>
        <v>#REF!</v>
      </c>
      <c r="DP1" t="e">
        <f>AND('MATRIX - Case Level'!#REF!,"AAAAAHf/fXc=")</f>
        <v>#REF!</v>
      </c>
      <c r="DQ1" t="e">
        <f>IF('MATRIX - Case Level'!#REF!,"AAAAAHf/fXg=",0)</f>
        <v>#REF!</v>
      </c>
      <c r="DR1" t="e">
        <f>AND('MATRIX - Case Level'!#REF!,"AAAAAHf/fXk=")</f>
        <v>#REF!</v>
      </c>
      <c r="DS1" t="e">
        <f>AND('MATRIX - Case Level'!#REF!,"AAAAAHf/fXo=")</f>
        <v>#REF!</v>
      </c>
      <c r="DT1" t="e">
        <f>AND('MATRIX - Case Level'!#REF!,"AAAAAHf/fXs=")</f>
        <v>#REF!</v>
      </c>
      <c r="DU1" t="e">
        <f>AND('MATRIX - Case Level'!#REF!,"AAAAAHf/fXw=")</f>
        <v>#REF!</v>
      </c>
      <c r="DV1" t="e">
        <f>AND('MATRIX - Case Level'!#REF!,"AAAAAHf/fX0=")</f>
        <v>#REF!</v>
      </c>
      <c r="DW1" t="e">
        <f>AND('MATRIX - Case Level'!#REF!,"AAAAAHf/fX4=")</f>
        <v>#REF!</v>
      </c>
      <c r="DX1" t="e">
        <f>AND('MATRIX - Case Level'!#REF!,"AAAAAHf/fX8=")</f>
        <v>#REF!</v>
      </c>
      <c r="DY1" t="e">
        <f>AND('MATRIX - Case Level'!#REF!,"AAAAAHf/fYA=")</f>
        <v>#REF!</v>
      </c>
      <c r="DZ1" t="e">
        <f>AND('MATRIX - Case Level'!#REF!,"AAAAAHf/fYE=")</f>
        <v>#REF!</v>
      </c>
      <c r="EA1" t="e">
        <f>AND('MATRIX - Case Level'!#REF!,"AAAAAHf/fYI=")</f>
        <v>#REF!</v>
      </c>
      <c r="EB1" t="e">
        <f>AND('MATRIX - Case Level'!#REF!,"AAAAAHf/fYM=")</f>
        <v>#REF!</v>
      </c>
      <c r="EC1" t="e">
        <f>AND('MATRIX - Case Level'!#REF!,"AAAAAHf/fYQ=")</f>
        <v>#REF!</v>
      </c>
      <c r="ED1" t="e">
        <f>AND('MATRIX - Case Level'!#REF!,"AAAAAHf/fYU=")</f>
        <v>#REF!</v>
      </c>
      <c r="EE1" t="e">
        <f>AND('MATRIX - Case Level'!#REF!,"AAAAAHf/fYY=")</f>
        <v>#REF!</v>
      </c>
      <c r="EF1" t="e">
        <f>AND('MATRIX - Case Level'!#REF!,"AAAAAHf/fYc=")</f>
        <v>#REF!</v>
      </c>
      <c r="EG1" t="e">
        <f>AND('MATRIX - Case Level'!#REF!,"AAAAAHf/fYg=")</f>
        <v>#REF!</v>
      </c>
      <c r="EH1" t="e">
        <f>AND('MATRIX - Case Level'!#REF!,"AAAAAHf/fYk=")</f>
        <v>#REF!</v>
      </c>
      <c r="EI1" t="e">
        <f>AND('MATRIX - Case Level'!#REF!,"AAAAAHf/fYo=")</f>
        <v>#REF!</v>
      </c>
      <c r="EJ1" t="e">
        <f>AND('MATRIX - Case Level'!#REF!,"AAAAAHf/fYs=")</f>
        <v>#REF!</v>
      </c>
      <c r="EK1" t="e">
        <f>IF('MATRIX - Case Level'!#REF!,"AAAAAHf/fYw=",0)</f>
        <v>#REF!</v>
      </c>
      <c r="EL1" t="e">
        <f>AND('MATRIX - Case Level'!#REF!,"AAAAAHf/fY0=")</f>
        <v>#REF!</v>
      </c>
      <c r="EM1" t="e">
        <f>AND('MATRIX - Case Level'!#REF!,"AAAAAHf/fY4=")</f>
        <v>#REF!</v>
      </c>
      <c r="EN1" t="e">
        <f>AND('MATRIX - Case Level'!#REF!,"AAAAAHf/fY8=")</f>
        <v>#REF!</v>
      </c>
      <c r="EO1" t="e">
        <f>AND('MATRIX - Case Level'!#REF!,"AAAAAHf/fZA=")</f>
        <v>#REF!</v>
      </c>
      <c r="EP1" t="e">
        <f>AND('MATRIX - Case Level'!#REF!,"AAAAAHf/fZE=")</f>
        <v>#REF!</v>
      </c>
      <c r="EQ1" t="e">
        <f>AND('MATRIX - Case Level'!#REF!,"AAAAAHf/fZI=")</f>
        <v>#REF!</v>
      </c>
      <c r="ER1" t="e">
        <f>AND('MATRIX - Case Level'!#REF!,"AAAAAHf/fZM=")</f>
        <v>#REF!</v>
      </c>
      <c r="ES1" t="e">
        <f>AND('MATRIX - Case Level'!#REF!,"AAAAAHf/fZQ=")</f>
        <v>#REF!</v>
      </c>
      <c r="ET1" t="e">
        <f>AND('MATRIX - Case Level'!#REF!,"AAAAAHf/fZU=")</f>
        <v>#REF!</v>
      </c>
      <c r="EU1" t="e">
        <f>AND('MATRIX - Case Level'!#REF!,"AAAAAHf/fZY=")</f>
        <v>#REF!</v>
      </c>
      <c r="EV1" t="e">
        <f>AND('MATRIX - Case Level'!#REF!,"AAAAAHf/fZc=")</f>
        <v>#REF!</v>
      </c>
      <c r="EW1" t="e">
        <f>AND('MATRIX - Case Level'!#REF!,"AAAAAHf/fZg=")</f>
        <v>#REF!</v>
      </c>
      <c r="EX1" t="e">
        <f>AND('MATRIX - Case Level'!#REF!,"AAAAAHf/fZk=")</f>
        <v>#REF!</v>
      </c>
      <c r="EY1" t="e">
        <f>AND('MATRIX - Case Level'!#REF!,"AAAAAHf/fZo=")</f>
        <v>#REF!</v>
      </c>
      <c r="EZ1" t="e">
        <f>AND('MATRIX - Case Level'!#REF!,"AAAAAHf/fZs=")</f>
        <v>#REF!</v>
      </c>
      <c r="FA1" t="e">
        <f>AND('MATRIX - Case Level'!#REF!,"AAAAAHf/fZw=")</f>
        <v>#REF!</v>
      </c>
      <c r="FB1" t="e">
        <f>AND('MATRIX - Case Level'!#REF!,"AAAAAHf/fZ0=")</f>
        <v>#REF!</v>
      </c>
      <c r="FC1" t="e">
        <f>AND('MATRIX - Case Level'!#REF!,"AAAAAHf/fZ4=")</f>
        <v>#REF!</v>
      </c>
      <c r="FD1" t="e">
        <f>AND('MATRIX - Case Level'!#REF!,"AAAAAHf/fZ8=")</f>
        <v>#REF!</v>
      </c>
      <c r="FE1" t="e">
        <f>IF('MATRIX - Case Level'!#REF!,"AAAAAHf/faA=",0)</f>
        <v>#REF!</v>
      </c>
      <c r="FF1" t="e">
        <f>AND('MATRIX - Case Level'!#REF!,"AAAAAHf/faE=")</f>
        <v>#REF!</v>
      </c>
      <c r="FG1" t="e">
        <f>AND('MATRIX - Case Level'!#REF!,"AAAAAHf/faI=")</f>
        <v>#REF!</v>
      </c>
      <c r="FH1" t="e">
        <f>AND('MATRIX - Case Level'!#REF!,"AAAAAHf/faM=")</f>
        <v>#REF!</v>
      </c>
      <c r="FI1" t="e">
        <f>AND('MATRIX - Case Level'!#REF!,"AAAAAHf/faQ=")</f>
        <v>#REF!</v>
      </c>
      <c r="FJ1" t="e">
        <f>AND('MATRIX - Case Level'!#REF!,"AAAAAHf/faU=")</f>
        <v>#REF!</v>
      </c>
      <c r="FK1" t="e">
        <f>AND('MATRIX - Case Level'!#REF!,"AAAAAHf/faY=")</f>
        <v>#REF!</v>
      </c>
      <c r="FL1" t="e">
        <f>AND('MATRIX - Case Level'!#REF!,"AAAAAHf/fac=")</f>
        <v>#REF!</v>
      </c>
      <c r="FM1" t="e">
        <f>AND('MATRIX - Case Level'!#REF!,"AAAAAHf/fag=")</f>
        <v>#REF!</v>
      </c>
      <c r="FN1" t="e">
        <f>AND('MATRIX - Case Level'!#REF!,"AAAAAHf/fak=")</f>
        <v>#REF!</v>
      </c>
      <c r="FO1" t="e">
        <f>AND('MATRIX - Case Level'!#REF!,"AAAAAHf/fao=")</f>
        <v>#REF!</v>
      </c>
      <c r="FP1" t="e">
        <f>AND('MATRIX - Case Level'!#REF!,"AAAAAHf/fas=")</f>
        <v>#REF!</v>
      </c>
      <c r="FQ1" t="e">
        <f>AND('MATRIX - Case Level'!#REF!,"AAAAAHf/faw=")</f>
        <v>#REF!</v>
      </c>
      <c r="FR1" t="e">
        <f>AND('MATRIX - Case Level'!#REF!,"AAAAAHf/fa0=")</f>
        <v>#REF!</v>
      </c>
      <c r="FS1" t="e">
        <f>AND('MATRIX - Case Level'!#REF!,"AAAAAHf/fa4=")</f>
        <v>#REF!</v>
      </c>
      <c r="FT1" t="e">
        <f>AND('MATRIX - Case Level'!#REF!,"AAAAAHf/fa8=")</f>
        <v>#REF!</v>
      </c>
      <c r="FU1" t="e">
        <f>AND('MATRIX - Case Level'!#REF!,"AAAAAHf/fbA=")</f>
        <v>#REF!</v>
      </c>
      <c r="FV1" t="e">
        <f>AND('MATRIX - Case Level'!#REF!,"AAAAAHf/fbE=")</f>
        <v>#REF!</v>
      </c>
      <c r="FW1" t="e">
        <f>AND('MATRIX - Case Level'!#REF!,"AAAAAHf/fbI=")</f>
        <v>#REF!</v>
      </c>
      <c r="FX1" t="e">
        <f>AND('MATRIX - Case Level'!#REF!,"AAAAAHf/fbM=")</f>
        <v>#REF!</v>
      </c>
      <c r="FY1" t="e">
        <f>IF('MATRIX - Case Level'!#REF!,"AAAAAHf/fbQ=",0)</f>
        <v>#REF!</v>
      </c>
      <c r="FZ1" t="e">
        <f>AND('MATRIX - Case Level'!#REF!,"AAAAAHf/fbU=")</f>
        <v>#REF!</v>
      </c>
      <c r="GA1" t="e">
        <f>AND('MATRIX - Case Level'!#REF!,"AAAAAHf/fbY=")</f>
        <v>#REF!</v>
      </c>
      <c r="GB1" t="e">
        <f>AND('MATRIX - Case Level'!#REF!,"AAAAAHf/fbc=")</f>
        <v>#REF!</v>
      </c>
      <c r="GC1" t="e">
        <f>AND('MATRIX - Case Level'!#REF!,"AAAAAHf/fbg=")</f>
        <v>#REF!</v>
      </c>
      <c r="GD1" t="e">
        <f>AND('MATRIX - Case Level'!#REF!,"AAAAAHf/fbk=")</f>
        <v>#REF!</v>
      </c>
      <c r="GE1" t="e">
        <f>AND('MATRIX - Case Level'!#REF!,"AAAAAHf/fbo=")</f>
        <v>#REF!</v>
      </c>
      <c r="GF1" t="e">
        <f>AND('MATRIX - Case Level'!#REF!,"AAAAAHf/fbs=")</f>
        <v>#REF!</v>
      </c>
      <c r="GG1" t="e">
        <f>AND('MATRIX - Case Level'!#REF!,"AAAAAHf/fbw=")</f>
        <v>#REF!</v>
      </c>
      <c r="GH1" t="e">
        <f>AND('MATRIX - Case Level'!#REF!,"AAAAAHf/fb0=")</f>
        <v>#REF!</v>
      </c>
      <c r="GI1" t="e">
        <f>AND('MATRIX - Case Level'!#REF!,"AAAAAHf/fb4=")</f>
        <v>#REF!</v>
      </c>
      <c r="GJ1" t="e">
        <f>AND('MATRIX - Case Level'!#REF!,"AAAAAHf/fb8=")</f>
        <v>#REF!</v>
      </c>
      <c r="GK1" t="e">
        <f>AND('MATRIX - Case Level'!#REF!,"AAAAAHf/fcA=")</f>
        <v>#REF!</v>
      </c>
      <c r="GL1" t="e">
        <f>AND('MATRIX - Case Level'!#REF!,"AAAAAHf/fcE=")</f>
        <v>#REF!</v>
      </c>
      <c r="GM1" t="e">
        <f>AND('MATRIX - Case Level'!#REF!,"AAAAAHf/fcI=")</f>
        <v>#REF!</v>
      </c>
      <c r="GN1" t="e">
        <f>AND('MATRIX - Case Level'!#REF!,"AAAAAHf/fcM=")</f>
        <v>#REF!</v>
      </c>
      <c r="GO1" t="e">
        <f>AND('MATRIX - Case Level'!#REF!,"AAAAAHf/fcQ=")</f>
        <v>#REF!</v>
      </c>
      <c r="GP1" t="e">
        <f>AND('MATRIX - Case Level'!#REF!,"AAAAAHf/fcU=")</f>
        <v>#REF!</v>
      </c>
      <c r="GQ1" t="e">
        <f>AND('MATRIX - Case Level'!#REF!,"AAAAAHf/fcY=")</f>
        <v>#REF!</v>
      </c>
      <c r="GR1" t="e">
        <f>AND('MATRIX - Case Level'!#REF!,"AAAAAHf/fcc=")</f>
        <v>#REF!</v>
      </c>
      <c r="GS1" t="e">
        <f>IF('MATRIX - Case Level'!#REF!,"AAAAAHf/fcg=",0)</f>
        <v>#REF!</v>
      </c>
      <c r="GT1" t="e">
        <f>AND('MATRIX - Case Level'!#REF!,"AAAAAHf/fck=")</f>
        <v>#REF!</v>
      </c>
      <c r="GU1" t="e">
        <f>AND('MATRIX - Case Level'!#REF!,"AAAAAHf/fco=")</f>
        <v>#REF!</v>
      </c>
      <c r="GV1" t="e">
        <f>AND('MATRIX - Case Level'!#REF!,"AAAAAHf/fcs=")</f>
        <v>#REF!</v>
      </c>
      <c r="GW1" t="e">
        <f>AND('MATRIX - Case Level'!#REF!,"AAAAAHf/fcw=")</f>
        <v>#REF!</v>
      </c>
      <c r="GX1" t="e">
        <f>AND('MATRIX - Case Level'!#REF!,"AAAAAHf/fc0=")</f>
        <v>#REF!</v>
      </c>
      <c r="GY1" t="e">
        <f>AND('MATRIX - Case Level'!#REF!,"AAAAAHf/fc4=")</f>
        <v>#REF!</v>
      </c>
      <c r="GZ1" t="e">
        <f>AND('MATRIX - Case Level'!#REF!,"AAAAAHf/fc8=")</f>
        <v>#REF!</v>
      </c>
      <c r="HA1" t="e">
        <f>AND('MATRIX - Case Level'!#REF!,"AAAAAHf/fdA=")</f>
        <v>#REF!</v>
      </c>
      <c r="HB1" t="e">
        <f>AND('MATRIX - Case Level'!#REF!,"AAAAAHf/fdE=")</f>
        <v>#REF!</v>
      </c>
      <c r="HC1" t="e">
        <f>AND('MATRIX - Case Level'!#REF!,"AAAAAHf/fdI=")</f>
        <v>#REF!</v>
      </c>
      <c r="HD1" t="e">
        <f>AND('MATRIX - Case Level'!#REF!,"AAAAAHf/fdM=")</f>
        <v>#REF!</v>
      </c>
      <c r="HE1" t="e">
        <f>AND('MATRIX - Case Level'!#REF!,"AAAAAHf/fdQ=")</f>
        <v>#REF!</v>
      </c>
      <c r="HF1" t="e">
        <f>AND('MATRIX - Case Level'!#REF!,"AAAAAHf/fdU=")</f>
        <v>#REF!</v>
      </c>
      <c r="HG1" t="e">
        <f>AND('MATRIX - Case Level'!#REF!,"AAAAAHf/fdY=")</f>
        <v>#REF!</v>
      </c>
      <c r="HH1" t="e">
        <f>AND('MATRIX - Case Level'!#REF!,"AAAAAHf/fdc=")</f>
        <v>#REF!</v>
      </c>
      <c r="HI1" t="e">
        <f>AND('MATRIX - Case Level'!#REF!,"AAAAAHf/fdg=")</f>
        <v>#REF!</v>
      </c>
      <c r="HJ1" t="e">
        <f>AND('MATRIX - Case Level'!#REF!,"AAAAAHf/fdk=")</f>
        <v>#REF!</v>
      </c>
      <c r="HK1" t="e">
        <f>AND('MATRIX - Case Level'!#REF!,"AAAAAHf/fdo=")</f>
        <v>#REF!</v>
      </c>
      <c r="HL1" t="e">
        <f>AND('MATRIX - Case Level'!#REF!,"AAAAAHf/fds=")</f>
        <v>#REF!</v>
      </c>
      <c r="HM1" t="e">
        <f>IF('MATRIX - Case Level'!#REF!,"AAAAAHf/fdw=",0)</f>
        <v>#REF!</v>
      </c>
      <c r="HN1" t="e">
        <f>AND('MATRIX - Case Level'!#REF!,"AAAAAHf/fd0=")</f>
        <v>#REF!</v>
      </c>
      <c r="HO1" t="e">
        <f>AND('MATRIX - Case Level'!#REF!,"AAAAAHf/fd4=")</f>
        <v>#REF!</v>
      </c>
      <c r="HP1" t="e">
        <f>AND('MATRIX - Case Level'!#REF!,"AAAAAHf/fd8=")</f>
        <v>#REF!</v>
      </c>
      <c r="HQ1" t="e">
        <f>AND('MATRIX - Case Level'!#REF!,"AAAAAHf/feA=")</f>
        <v>#REF!</v>
      </c>
      <c r="HR1" t="e">
        <f>AND('MATRIX - Case Level'!#REF!,"AAAAAHf/feE=")</f>
        <v>#REF!</v>
      </c>
      <c r="HS1" t="e">
        <f>AND('MATRIX - Case Level'!#REF!,"AAAAAHf/feI=")</f>
        <v>#REF!</v>
      </c>
      <c r="HT1" t="e">
        <f>AND('MATRIX - Case Level'!#REF!,"AAAAAHf/feM=")</f>
        <v>#REF!</v>
      </c>
      <c r="HU1" t="e">
        <f>AND('MATRIX - Case Level'!#REF!,"AAAAAHf/feQ=")</f>
        <v>#REF!</v>
      </c>
      <c r="HV1" t="e">
        <f>AND('MATRIX - Case Level'!#REF!,"AAAAAHf/feU=")</f>
        <v>#REF!</v>
      </c>
      <c r="HW1" t="e">
        <f>AND('MATRIX - Case Level'!#REF!,"AAAAAHf/feY=")</f>
        <v>#REF!</v>
      </c>
      <c r="HX1" t="e">
        <f>AND('MATRIX - Case Level'!#REF!,"AAAAAHf/fec=")</f>
        <v>#REF!</v>
      </c>
      <c r="HY1" t="e">
        <f>AND('MATRIX - Case Level'!#REF!,"AAAAAHf/feg=")</f>
        <v>#REF!</v>
      </c>
      <c r="HZ1" t="e">
        <f>AND('MATRIX - Case Level'!#REF!,"AAAAAHf/fek=")</f>
        <v>#REF!</v>
      </c>
      <c r="IA1" t="e">
        <f>AND('MATRIX - Case Level'!#REF!,"AAAAAHf/feo=")</f>
        <v>#REF!</v>
      </c>
      <c r="IB1" t="e">
        <f>AND('MATRIX - Case Level'!#REF!,"AAAAAHf/fes=")</f>
        <v>#REF!</v>
      </c>
      <c r="IC1" t="e">
        <f>AND('MATRIX - Case Level'!#REF!,"AAAAAHf/few=")</f>
        <v>#REF!</v>
      </c>
      <c r="ID1" t="e">
        <f>AND('MATRIX - Case Level'!#REF!,"AAAAAHf/fe0=")</f>
        <v>#REF!</v>
      </c>
      <c r="IE1" t="e">
        <f>AND('MATRIX - Case Level'!#REF!,"AAAAAHf/fe4=")</f>
        <v>#REF!</v>
      </c>
      <c r="IF1" t="e">
        <f>AND('MATRIX - Case Level'!#REF!,"AAAAAHf/fe8=")</f>
        <v>#REF!</v>
      </c>
      <c r="IG1" t="e">
        <f>IF('MATRIX - Case Level'!#REF!,"AAAAAHf/ffA=",0)</f>
        <v>#REF!</v>
      </c>
      <c r="IH1" t="e">
        <f>AND('MATRIX - Case Level'!#REF!,"AAAAAHf/ffE=")</f>
        <v>#REF!</v>
      </c>
      <c r="II1" t="e">
        <f>AND('MATRIX - Case Level'!#REF!,"AAAAAHf/ffI=")</f>
        <v>#REF!</v>
      </c>
      <c r="IJ1" t="e">
        <f>AND('MATRIX - Case Level'!#REF!,"AAAAAHf/ffM=")</f>
        <v>#REF!</v>
      </c>
      <c r="IK1" t="e">
        <f>AND('MATRIX - Case Level'!#REF!,"AAAAAHf/ffQ=")</f>
        <v>#REF!</v>
      </c>
      <c r="IL1" t="e">
        <f>AND('MATRIX - Case Level'!#REF!,"AAAAAHf/ffU=")</f>
        <v>#REF!</v>
      </c>
      <c r="IM1" t="e">
        <f>AND('MATRIX - Case Level'!#REF!,"AAAAAHf/ffY=")</f>
        <v>#REF!</v>
      </c>
      <c r="IN1" t="e">
        <f>AND('MATRIX - Case Level'!#REF!,"AAAAAHf/ffc=")</f>
        <v>#REF!</v>
      </c>
      <c r="IO1" t="e">
        <f>AND('MATRIX - Case Level'!#REF!,"AAAAAHf/ffg=")</f>
        <v>#REF!</v>
      </c>
      <c r="IP1" t="e">
        <f>AND('MATRIX - Case Level'!#REF!,"AAAAAHf/ffk=")</f>
        <v>#REF!</v>
      </c>
      <c r="IQ1" t="e">
        <f>AND('MATRIX - Case Level'!#REF!,"AAAAAHf/ffo=")</f>
        <v>#REF!</v>
      </c>
      <c r="IR1" t="e">
        <f>AND('MATRIX - Case Level'!#REF!,"AAAAAHf/ffs=")</f>
        <v>#REF!</v>
      </c>
      <c r="IS1" t="e">
        <f>AND('MATRIX - Case Level'!#REF!,"AAAAAHf/ffw=")</f>
        <v>#REF!</v>
      </c>
      <c r="IT1" t="e">
        <f>AND('MATRIX - Case Level'!#REF!,"AAAAAHf/ff0=")</f>
        <v>#REF!</v>
      </c>
      <c r="IU1" t="e">
        <f>AND('MATRIX - Case Level'!#REF!,"AAAAAHf/ff4=")</f>
        <v>#REF!</v>
      </c>
      <c r="IV1" t="e">
        <f>AND('MATRIX - Case Level'!#REF!,"AAAAAHf/ff8=")</f>
        <v>#REF!</v>
      </c>
    </row>
    <row r="2" spans="1:256" ht="12.75">
      <c r="A2" t="e">
        <f>AND('MATRIX - Case Level'!#REF!,"AAAAACet/gA=")</f>
        <v>#REF!</v>
      </c>
      <c r="B2" t="e">
        <f>AND('MATRIX - Case Level'!#REF!,"AAAAACet/gE=")</f>
        <v>#REF!</v>
      </c>
      <c r="C2" t="e">
        <f>AND('MATRIX - Case Level'!#REF!,"AAAAACet/gI=")</f>
        <v>#REF!</v>
      </c>
      <c r="D2" t="e">
        <f>AND('MATRIX - Case Level'!#REF!,"AAAAACet/gM=")</f>
        <v>#REF!</v>
      </c>
      <c r="E2" t="e">
        <f>IF('MATRIX - Case Level'!#REF!,"AAAAACet/gQ=",0)</f>
        <v>#REF!</v>
      </c>
      <c r="F2" t="e">
        <f>AND('MATRIX - Case Level'!#REF!,"AAAAACet/gU=")</f>
        <v>#REF!</v>
      </c>
      <c r="G2" t="e">
        <f>AND('MATRIX - Case Level'!#REF!,"AAAAACet/gY=")</f>
        <v>#REF!</v>
      </c>
      <c r="H2" t="e">
        <f>AND('MATRIX - Case Level'!#REF!,"AAAAACet/gc=")</f>
        <v>#REF!</v>
      </c>
      <c r="I2" t="e">
        <f>AND('MATRIX - Case Level'!#REF!,"AAAAACet/gg=")</f>
        <v>#REF!</v>
      </c>
      <c r="J2" t="e">
        <f>AND('MATRIX - Case Level'!#REF!,"AAAAACet/gk=")</f>
        <v>#REF!</v>
      </c>
      <c r="K2" t="e">
        <f>AND('MATRIX - Case Level'!#REF!,"AAAAACet/go=")</f>
        <v>#REF!</v>
      </c>
      <c r="L2" t="e">
        <f>AND('MATRIX - Case Level'!#REF!,"AAAAACet/gs=")</f>
        <v>#REF!</v>
      </c>
      <c r="M2" t="e">
        <f>AND('MATRIX - Case Level'!#REF!,"AAAAACet/gw=")</f>
        <v>#REF!</v>
      </c>
      <c r="N2" t="e">
        <f>AND('MATRIX - Case Level'!#REF!,"AAAAACet/g0=")</f>
        <v>#REF!</v>
      </c>
      <c r="O2" t="e">
        <f>AND('MATRIX - Case Level'!#REF!,"AAAAACet/g4=")</f>
        <v>#REF!</v>
      </c>
      <c r="P2" t="e">
        <f>AND('MATRIX - Case Level'!#REF!,"AAAAACet/g8=")</f>
        <v>#REF!</v>
      </c>
      <c r="Q2" t="e">
        <f>AND('MATRIX - Case Level'!#REF!,"AAAAACet/hA=")</f>
        <v>#REF!</v>
      </c>
      <c r="R2" t="e">
        <f>AND('MATRIX - Case Level'!#REF!,"AAAAACet/hE=")</f>
        <v>#REF!</v>
      </c>
      <c r="S2" t="e">
        <f>AND('MATRIX - Case Level'!#REF!,"AAAAACet/hI=")</f>
        <v>#REF!</v>
      </c>
      <c r="T2" t="e">
        <f>AND('MATRIX - Case Level'!#REF!,"AAAAACet/hM=")</f>
        <v>#REF!</v>
      </c>
      <c r="U2" t="e">
        <f>AND('MATRIX - Case Level'!#REF!,"AAAAACet/hQ=")</f>
        <v>#REF!</v>
      </c>
      <c r="V2" t="e">
        <f>AND('MATRIX - Case Level'!#REF!,"AAAAACet/hU=")</f>
        <v>#REF!</v>
      </c>
      <c r="W2" t="e">
        <f>AND('MATRIX - Case Level'!#REF!,"AAAAACet/hY=")</f>
        <v>#REF!</v>
      </c>
      <c r="X2" t="e">
        <f>AND('MATRIX - Case Level'!#REF!,"AAAAACet/hc=")</f>
        <v>#REF!</v>
      </c>
      <c r="Y2" t="e">
        <f>IF('MATRIX - Case Level'!#REF!,"AAAAACet/hg=",0)</f>
        <v>#REF!</v>
      </c>
      <c r="Z2" t="e">
        <f>AND('MATRIX - Case Level'!#REF!,"AAAAACet/hk=")</f>
        <v>#REF!</v>
      </c>
      <c r="AA2" t="e">
        <f>AND('MATRIX - Case Level'!#REF!,"AAAAACet/ho=")</f>
        <v>#REF!</v>
      </c>
      <c r="AB2" t="e">
        <f>AND('MATRIX - Case Level'!#REF!,"AAAAACet/hs=")</f>
        <v>#REF!</v>
      </c>
      <c r="AC2" t="e">
        <f>AND('MATRIX - Case Level'!#REF!,"AAAAACet/hw=")</f>
        <v>#REF!</v>
      </c>
      <c r="AD2" t="e">
        <f>AND('MATRIX - Case Level'!#REF!,"AAAAACet/h0=")</f>
        <v>#REF!</v>
      </c>
      <c r="AE2" t="e">
        <f>AND('MATRIX - Case Level'!#REF!,"AAAAACet/h4=")</f>
        <v>#REF!</v>
      </c>
      <c r="AF2" t="e">
        <f>AND('MATRIX - Case Level'!#REF!,"AAAAACet/h8=")</f>
        <v>#REF!</v>
      </c>
      <c r="AG2" t="e">
        <f>AND('MATRIX - Case Level'!#REF!,"AAAAACet/iA=")</f>
        <v>#REF!</v>
      </c>
      <c r="AH2" t="e">
        <f>AND('MATRIX - Case Level'!#REF!,"AAAAACet/iE=")</f>
        <v>#REF!</v>
      </c>
      <c r="AI2" t="e">
        <f>AND('MATRIX - Case Level'!#REF!,"AAAAACet/iI=")</f>
        <v>#REF!</v>
      </c>
      <c r="AJ2" t="e">
        <f>AND('MATRIX - Case Level'!#REF!,"AAAAACet/iM=")</f>
        <v>#REF!</v>
      </c>
      <c r="AK2" t="e">
        <f>AND('MATRIX - Case Level'!#REF!,"AAAAACet/iQ=")</f>
        <v>#REF!</v>
      </c>
      <c r="AL2" t="e">
        <f>AND('MATRIX - Case Level'!#REF!,"AAAAACet/iU=")</f>
        <v>#REF!</v>
      </c>
      <c r="AM2" t="e">
        <f>AND('MATRIX - Case Level'!#REF!,"AAAAACet/iY=")</f>
        <v>#REF!</v>
      </c>
      <c r="AN2" t="e">
        <f>AND('MATRIX - Case Level'!#REF!,"AAAAACet/ic=")</f>
        <v>#REF!</v>
      </c>
      <c r="AO2" t="e">
        <f>AND('MATRIX - Case Level'!#REF!,"AAAAACet/ig=")</f>
        <v>#REF!</v>
      </c>
      <c r="AP2" t="e">
        <f>AND('MATRIX - Case Level'!#REF!,"AAAAACet/ik=")</f>
        <v>#REF!</v>
      </c>
      <c r="AQ2" t="e">
        <f>AND('MATRIX - Case Level'!#REF!,"AAAAACet/io=")</f>
        <v>#REF!</v>
      </c>
      <c r="AR2" t="e">
        <f>AND('MATRIX - Case Level'!#REF!,"AAAAACet/is=")</f>
        <v>#REF!</v>
      </c>
      <c r="AS2" t="e">
        <f>IF('MATRIX - Case Level'!#REF!,"AAAAACet/iw=",0)</f>
        <v>#REF!</v>
      </c>
      <c r="AT2" t="e">
        <f>AND('MATRIX - Case Level'!#REF!,"AAAAACet/i0=")</f>
        <v>#REF!</v>
      </c>
      <c r="AU2" t="e">
        <f>AND('MATRIX - Case Level'!#REF!,"AAAAACet/i4=")</f>
        <v>#REF!</v>
      </c>
      <c r="AV2" t="e">
        <f>AND('MATRIX - Case Level'!#REF!,"AAAAACet/i8=")</f>
        <v>#REF!</v>
      </c>
      <c r="AW2" t="e">
        <f>AND('MATRIX - Case Level'!#REF!,"AAAAACet/jA=")</f>
        <v>#REF!</v>
      </c>
      <c r="AX2" t="e">
        <f>AND('MATRIX - Case Level'!#REF!,"AAAAACet/jE=")</f>
        <v>#REF!</v>
      </c>
      <c r="AY2" t="e">
        <f>AND('MATRIX - Case Level'!#REF!,"AAAAACet/jI=")</f>
        <v>#REF!</v>
      </c>
      <c r="AZ2" t="e">
        <f>AND('MATRIX - Case Level'!#REF!,"AAAAACet/jM=")</f>
        <v>#REF!</v>
      </c>
      <c r="BA2" t="e">
        <f>AND('MATRIX - Case Level'!#REF!,"AAAAACet/jQ=")</f>
        <v>#REF!</v>
      </c>
      <c r="BB2" t="e">
        <f>AND('MATRIX - Case Level'!#REF!,"AAAAACet/jU=")</f>
        <v>#REF!</v>
      </c>
      <c r="BC2" t="e">
        <f>AND('MATRIX - Case Level'!#REF!,"AAAAACet/jY=")</f>
        <v>#REF!</v>
      </c>
      <c r="BD2" t="e">
        <f>AND('MATRIX - Case Level'!#REF!,"AAAAACet/jc=")</f>
        <v>#REF!</v>
      </c>
      <c r="BE2" t="e">
        <f>AND('MATRIX - Case Level'!#REF!,"AAAAACet/jg=")</f>
        <v>#REF!</v>
      </c>
      <c r="BF2" t="e">
        <f>AND('MATRIX - Case Level'!#REF!,"AAAAACet/jk=")</f>
        <v>#REF!</v>
      </c>
      <c r="BG2" t="e">
        <f>AND('MATRIX - Case Level'!#REF!,"AAAAACet/jo=")</f>
        <v>#REF!</v>
      </c>
      <c r="BH2" t="e">
        <f>AND('MATRIX - Case Level'!#REF!,"AAAAACet/js=")</f>
        <v>#REF!</v>
      </c>
      <c r="BI2" t="e">
        <f>AND('MATRIX - Case Level'!#REF!,"AAAAACet/jw=")</f>
        <v>#REF!</v>
      </c>
      <c r="BJ2" t="e">
        <f>AND('MATRIX - Case Level'!#REF!,"AAAAACet/j0=")</f>
        <v>#REF!</v>
      </c>
      <c r="BK2" t="e">
        <f>AND('MATRIX - Case Level'!#REF!,"AAAAACet/j4=")</f>
        <v>#REF!</v>
      </c>
      <c r="BL2" t="e">
        <f>AND('MATRIX - Case Level'!#REF!,"AAAAACet/j8=")</f>
        <v>#REF!</v>
      </c>
      <c r="BM2" t="e">
        <f>IF('MATRIX - Case Level'!#REF!,"AAAAACet/kA=",0)</f>
        <v>#REF!</v>
      </c>
      <c r="BN2" t="e">
        <f>AND('MATRIX - Case Level'!#REF!,"AAAAACet/kE=")</f>
        <v>#REF!</v>
      </c>
      <c r="BO2" t="e">
        <f>AND('MATRIX - Case Level'!#REF!,"AAAAACet/kI=")</f>
        <v>#REF!</v>
      </c>
      <c r="BP2" t="e">
        <f>AND('MATRIX - Case Level'!#REF!,"AAAAACet/kM=")</f>
        <v>#REF!</v>
      </c>
      <c r="BQ2" t="e">
        <f>AND('MATRIX - Case Level'!#REF!,"AAAAACet/kQ=")</f>
        <v>#REF!</v>
      </c>
      <c r="BR2" t="e">
        <f>AND('MATRIX - Case Level'!#REF!,"AAAAACet/kU=")</f>
        <v>#REF!</v>
      </c>
      <c r="BS2" t="e">
        <f>AND('MATRIX - Case Level'!#REF!,"AAAAACet/kY=")</f>
        <v>#REF!</v>
      </c>
      <c r="BT2" t="e">
        <f>AND('MATRIX - Case Level'!#REF!,"AAAAACet/kc=")</f>
        <v>#REF!</v>
      </c>
      <c r="BU2" t="e">
        <f>AND('MATRIX - Case Level'!#REF!,"AAAAACet/kg=")</f>
        <v>#REF!</v>
      </c>
      <c r="BV2" t="e">
        <f>AND('MATRIX - Case Level'!#REF!,"AAAAACet/kk=")</f>
        <v>#REF!</v>
      </c>
      <c r="BW2" t="e">
        <f>AND('MATRIX - Case Level'!#REF!,"AAAAACet/ko=")</f>
        <v>#REF!</v>
      </c>
      <c r="BX2" t="e">
        <f>AND('MATRIX - Case Level'!#REF!,"AAAAACet/ks=")</f>
        <v>#REF!</v>
      </c>
      <c r="BY2" t="e">
        <f>AND('MATRIX - Case Level'!#REF!,"AAAAACet/kw=")</f>
        <v>#REF!</v>
      </c>
      <c r="BZ2" t="e">
        <f>AND('MATRIX - Case Level'!#REF!,"AAAAACet/k0=")</f>
        <v>#REF!</v>
      </c>
      <c r="CA2" t="e">
        <f>AND('MATRIX - Case Level'!#REF!,"AAAAACet/k4=")</f>
        <v>#REF!</v>
      </c>
      <c r="CB2" t="e">
        <f>AND('MATRIX - Case Level'!#REF!,"AAAAACet/k8=")</f>
        <v>#REF!</v>
      </c>
      <c r="CC2" t="e">
        <f>AND('MATRIX - Case Level'!#REF!,"AAAAACet/lA=")</f>
        <v>#REF!</v>
      </c>
      <c r="CD2" t="e">
        <f>AND('MATRIX - Case Level'!#REF!,"AAAAACet/lE=")</f>
        <v>#REF!</v>
      </c>
      <c r="CE2" t="e">
        <f>AND('MATRIX - Case Level'!#REF!,"AAAAACet/lI=")</f>
        <v>#REF!</v>
      </c>
      <c r="CF2" t="e">
        <f>AND('MATRIX - Case Level'!#REF!,"AAAAACet/lM=")</f>
        <v>#REF!</v>
      </c>
      <c r="CG2" t="e">
        <f>IF('MATRIX - Case Level'!#REF!,"AAAAACet/lQ=",0)</f>
        <v>#REF!</v>
      </c>
      <c r="CH2" t="e">
        <f>AND('MATRIX - Case Level'!#REF!,"AAAAACet/lU=")</f>
        <v>#REF!</v>
      </c>
      <c r="CI2" t="e">
        <f>AND('MATRIX - Case Level'!#REF!,"AAAAACet/lY=")</f>
        <v>#REF!</v>
      </c>
      <c r="CJ2" t="e">
        <f>AND('MATRIX - Case Level'!#REF!,"AAAAACet/lc=")</f>
        <v>#REF!</v>
      </c>
      <c r="CK2" t="e">
        <f>AND('MATRIX - Case Level'!#REF!,"AAAAACet/lg=")</f>
        <v>#REF!</v>
      </c>
      <c r="CL2" t="e">
        <f>AND('MATRIX - Case Level'!#REF!,"AAAAACet/lk=")</f>
        <v>#REF!</v>
      </c>
      <c r="CM2" t="e">
        <f>AND('MATRIX - Case Level'!#REF!,"AAAAACet/lo=")</f>
        <v>#REF!</v>
      </c>
      <c r="CN2" t="e">
        <f>AND('MATRIX - Case Level'!#REF!,"AAAAACet/ls=")</f>
        <v>#REF!</v>
      </c>
      <c r="CO2" t="e">
        <f>AND('MATRIX - Case Level'!#REF!,"AAAAACet/lw=")</f>
        <v>#REF!</v>
      </c>
      <c r="CP2" t="e">
        <f>AND('MATRIX - Case Level'!#REF!,"AAAAACet/l0=")</f>
        <v>#REF!</v>
      </c>
      <c r="CQ2" t="e">
        <f>AND('MATRIX - Case Level'!#REF!,"AAAAACet/l4=")</f>
        <v>#REF!</v>
      </c>
      <c r="CR2" t="e">
        <f>AND('MATRIX - Case Level'!#REF!,"AAAAACet/l8=")</f>
        <v>#REF!</v>
      </c>
      <c r="CS2" t="e">
        <f>AND('MATRIX - Case Level'!#REF!,"AAAAACet/mA=")</f>
        <v>#REF!</v>
      </c>
      <c r="CT2" t="e">
        <f>AND('MATRIX - Case Level'!#REF!,"AAAAACet/mE=")</f>
        <v>#REF!</v>
      </c>
      <c r="CU2" t="e">
        <f>AND('MATRIX - Case Level'!#REF!,"AAAAACet/mI=")</f>
        <v>#REF!</v>
      </c>
      <c r="CV2" t="e">
        <f>AND('MATRIX - Case Level'!#REF!,"AAAAACet/mM=")</f>
        <v>#REF!</v>
      </c>
      <c r="CW2" t="e">
        <f>AND('MATRIX - Case Level'!#REF!,"AAAAACet/mQ=")</f>
        <v>#REF!</v>
      </c>
      <c r="CX2" t="e">
        <f>AND('MATRIX - Case Level'!#REF!,"AAAAACet/mU=")</f>
        <v>#REF!</v>
      </c>
      <c r="CY2" t="e">
        <f>AND('MATRIX - Case Level'!#REF!,"AAAAACet/mY=")</f>
        <v>#REF!</v>
      </c>
      <c r="CZ2" t="e">
        <f>AND('MATRIX - Case Level'!#REF!,"AAAAACet/mc=")</f>
        <v>#REF!</v>
      </c>
      <c r="DA2" t="e">
        <f>IF('MATRIX - Case Level'!#REF!,"AAAAACet/mg=",0)</f>
        <v>#REF!</v>
      </c>
      <c r="DB2" t="e">
        <f>AND('MATRIX - Case Level'!#REF!,"AAAAACet/mk=")</f>
        <v>#REF!</v>
      </c>
      <c r="DC2" t="e">
        <f>AND('MATRIX - Case Level'!#REF!,"AAAAACet/mo=")</f>
        <v>#REF!</v>
      </c>
      <c r="DD2" t="e">
        <f>AND('MATRIX - Case Level'!#REF!,"AAAAACet/ms=")</f>
        <v>#REF!</v>
      </c>
      <c r="DE2" t="e">
        <f>AND('MATRIX - Case Level'!#REF!,"AAAAACet/mw=")</f>
        <v>#REF!</v>
      </c>
      <c r="DF2" t="e">
        <f>AND('MATRIX - Case Level'!#REF!,"AAAAACet/m0=")</f>
        <v>#REF!</v>
      </c>
      <c r="DG2" t="e">
        <f>AND('MATRIX - Case Level'!#REF!,"AAAAACet/m4=")</f>
        <v>#REF!</v>
      </c>
      <c r="DH2" t="e">
        <f>AND('MATRIX - Case Level'!#REF!,"AAAAACet/m8=")</f>
        <v>#REF!</v>
      </c>
      <c r="DI2" t="e">
        <f>AND('MATRIX - Case Level'!#REF!,"AAAAACet/nA=")</f>
        <v>#REF!</v>
      </c>
      <c r="DJ2" t="e">
        <f>AND('MATRIX - Case Level'!#REF!,"AAAAACet/nE=")</f>
        <v>#REF!</v>
      </c>
      <c r="DK2" t="e">
        <f>AND('MATRIX - Case Level'!#REF!,"AAAAACet/nI=")</f>
        <v>#REF!</v>
      </c>
      <c r="DL2" t="e">
        <f>AND('MATRIX - Case Level'!#REF!,"AAAAACet/nM=")</f>
        <v>#REF!</v>
      </c>
      <c r="DM2" t="e">
        <f>AND('MATRIX - Case Level'!#REF!,"AAAAACet/nQ=")</f>
        <v>#REF!</v>
      </c>
      <c r="DN2" t="e">
        <f>AND('MATRIX - Case Level'!#REF!,"AAAAACet/nU=")</f>
        <v>#REF!</v>
      </c>
      <c r="DO2" t="e">
        <f>AND('MATRIX - Case Level'!#REF!,"AAAAACet/nY=")</f>
        <v>#REF!</v>
      </c>
      <c r="DP2" t="e">
        <f>AND('MATRIX - Case Level'!#REF!,"AAAAACet/nc=")</f>
        <v>#REF!</v>
      </c>
      <c r="DQ2" t="e">
        <f>AND('MATRIX - Case Level'!#REF!,"AAAAACet/ng=")</f>
        <v>#REF!</v>
      </c>
      <c r="DR2" t="e">
        <f>AND('MATRIX - Case Level'!#REF!,"AAAAACet/nk=")</f>
        <v>#REF!</v>
      </c>
      <c r="DS2" t="e">
        <f>AND('MATRIX - Case Level'!#REF!,"AAAAACet/no=")</f>
        <v>#REF!</v>
      </c>
      <c r="DT2" t="e">
        <f>AND('MATRIX - Case Level'!#REF!,"AAAAACet/ns=")</f>
        <v>#REF!</v>
      </c>
      <c r="DU2" t="e">
        <f>IF('MATRIX - Case Level'!#REF!,"AAAAACet/nw=",0)</f>
        <v>#REF!</v>
      </c>
      <c r="DV2" t="e">
        <f>AND('MATRIX - Case Level'!#REF!,"AAAAACet/n0=")</f>
        <v>#REF!</v>
      </c>
      <c r="DW2" t="e">
        <f>AND('MATRIX - Case Level'!#REF!,"AAAAACet/n4=")</f>
        <v>#REF!</v>
      </c>
      <c r="DX2" t="e">
        <f>AND('MATRIX - Case Level'!#REF!,"AAAAACet/n8=")</f>
        <v>#REF!</v>
      </c>
      <c r="DY2" t="e">
        <f>AND('MATRIX - Case Level'!#REF!,"AAAAACet/oA=")</f>
        <v>#REF!</v>
      </c>
      <c r="DZ2" t="e">
        <f>AND('MATRIX - Case Level'!#REF!,"AAAAACet/oE=")</f>
        <v>#REF!</v>
      </c>
      <c r="EA2" t="e">
        <f>AND('MATRIX - Case Level'!#REF!,"AAAAACet/oI=")</f>
        <v>#REF!</v>
      </c>
      <c r="EB2" t="e">
        <f>AND('MATRIX - Case Level'!#REF!,"AAAAACet/oM=")</f>
        <v>#REF!</v>
      </c>
      <c r="EC2" t="e">
        <f>AND('MATRIX - Case Level'!#REF!,"AAAAACet/oQ=")</f>
        <v>#REF!</v>
      </c>
      <c r="ED2" t="e">
        <f>AND('MATRIX - Case Level'!#REF!,"AAAAACet/oU=")</f>
        <v>#REF!</v>
      </c>
      <c r="EE2" t="e">
        <f>AND('MATRIX - Case Level'!#REF!,"AAAAACet/oY=")</f>
        <v>#REF!</v>
      </c>
      <c r="EF2" t="e">
        <f>AND('MATRIX - Case Level'!#REF!,"AAAAACet/oc=")</f>
        <v>#REF!</v>
      </c>
      <c r="EG2" t="e">
        <f>AND('MATRIX - Case Level'!#REF!,"AAAAACet/og=")</f>
        <v>#REF!</v>
      </c>
      <c r="EH2" t="e">
        <f>AND('MATRIX - Case Level'!#REF!,"AAAAACet/ok=")</f>
        <v>#REF!</v>
      </c>
      <c r="EI2" t="e">
        <f>AND('MATRIX - Case Level'!#REF!,"AAAAACet/oo=")</f>
        <v>#REF!</v>
      </c>
      <c r="EJ2" t="e">
        <f>AND('MATRIX - Case Level'!#REF!,"AAAAACet/os=")</f>
        <v>#REF!</v>
      </c>
      <c r="EK2" t="e">
        <f>AND('MATRIX - Case Level'!#REF!,"AAAAACet/ow=")</f>
        <v>#REF!</v>
      </c>
      <c r="EL2" t="e">
        <f>AND('MATRIX - Case Level'!#REF!,"AAAAACet/o0=")</f>
        <v>#REF!</v>
      </c>
      <c r="EM2" t="e">
        <f>AND('MATRIX - Case Level'!#REF!,"AAAAACet/o4=")</f>
        <v>#REF!</v>
      </c>
      <c r="EN2" t="e">
        <f>AND('MATRIX - Case Level'!#REF!,"AAAAACet/o8=")</f>
        <v>#REF!</v>
      </c>
      <c r="EO2">
        <f>IF('MATRIX - Case Level'!19:19,"AAAAACet/pA=",0)</f>
        <v>0</v>
      </c>
      <c r="EP2" t="e">
        <f>AND('MATRIX - Case Level'!A19,"AAAAACet/pE=")</f>
        <v>#VALUE!</v>
      </c>
      <c r="EQ2" t="e">
        <f>AND('MATRIX - Case Level'!B19,"AAAAACet/pI=")</f>
        <v>#VALUE!</v>
      </c>
      <c r="ER2" t="e">
        <f>AND('MATRIX - Case Level'!C19,"AAAAACet/pM=")</f>
        <v>#VALUE!</v>
      </c>
      <c r="ES2" t="e">
        <f>AND('MATRIX - Case Level'!#REF!,"AAAAACet/pQ=")</f>
        <v>#REF!</v>
      </c>
      <c r="ET2" t="e">
        <f>AND('MATRIX - Case Level'!D19,"AAAAACet/pU=")</f>
        <v>#VALUE!</v>
      </c>
      <c r="EU2" t="e">
        <f>AND('MATRIX - Case Level'!E19,"AAAAACet/pY=")</f>
        <v>#VALUE!</v>
      </c>
      <c r="EV2" t="e">
        <f>AND('MATRIX - Case Level'!F19,"AAAAACet/pc=")</f>
        <v>#VALUE!</v>
      </c>
      <c r="EW2" t="e">
        <f>AND('MATRIX - Case Level'!G19,"AAAAACet/pg=")</f>
        <v>#VALUE!</v>
      </c>
      <c r="EX2" t="e">
        <f>AND('MATRIX - Case Level'!H19,"AAAAACet/pk=")</f>
        <v>#VALUE!</v>
      </c>
      <c r="EY2" t="e">
        <f>AND('MATRIX - Case Level'!I19,"AAAAACet/po=")</f>
        <v>#VALUE!</v>
      </c>
      <c r="EZ2" t="e">
        <f>AND('MATRIX - Case Level'!J19,"AAAAACet/ps=")</f>
        <v>#VALUE!</v>
      </c>
      <c r="FA2" t="e">
        <f>AND('MATRIX - Case Level'!K19,"AAAAACet/pw=")</f>
        <v>#VALUE!</v>
      </c>
      <c r="FB2" t="e">
        <f>AND('MATRIX - Case Level'!L19,"AAAAACet/p0=")</f>
        <v>#VALUE!</v>
      </c>
      <c r="FC2" t="e">
        <f>AND('MATRIX - Case Level'!#REF!,"AAAAACet/p4=")</f>
        <v>#REF!</v>
      </c>
      <c r="FD2" t="e">
        <f>AND('MATRIX - Case Level'!O19,"AAAAACet/p8=")</f>
        <v>#VALUE!</v>
      </c>
      <c r="FE2" t="e">
        <f>AND('MATRIX - Case Level'!P19,"AAAAACet/qA=")</f>
        <v>#VALUE!</v>
      </c>
      <c r="FF2" t="e">
        <f>AND('MATRIX - Case Level'!Q19,"AAAAACet/qE=")</f>
        <v>#VALUE!</v>
      </c>
      <c r="FG2" t="e">
        <f>AND('MATRIX - Case Level'!#REF!,"AAAAACet/qI=")</f>
        <v>#REF!</v>
      </c>
      <c r="FH2" t="e">
        <f>AND('MATRIX - Case Level'!#REF!,"AAAAACet/qM=")</f>
        <v>#REF!</v>
      </c>
      <c r="FI2">
        <f>IF('MATRIX - Case Level'!20:20,"AAAAACet/qQ=",0)</f>
        <v>0</v>
      </c>
      <c r="FJ2" t="e">
        <f>AND('MATRIX - Case Level'!A20,"AAAAACet/qU=")</f>
        <v>#VALUE!</v>
      </c>
      <c r="FK2" t="e">
        <f>AND('MATRIX - Case Level'!B20,"AAAAACet/qY=")</f>
        <v>#VALUE!</v>
      </c>
      <c r="FL2" t="e">
        <f>AND('MATRIX - Case Level'!C20,"AAAAACet/qc=")</f>
        <v>#VALUE!</v>
      </c>
      <c r="FM2" t="e">
        <f>AND('MATRIX - Case Level'!#REF!,"AAAAACet/qg=")</f>
        <v>#REF!</v>
      </c>
      <c r="FN2" t="e">
        <f>AND('MATRIX - Case Level'!D20,"AAAAACet/qk=")</f>
        <v>#VALUE!</v>
      </c>
      <c r="FO2" t="e">
        <f>AND('MATRIX - Case Level'!E20,"AAAAACet/qo=")</f>
        <v>#VALUE!</v>
      </c>
      <c r="FP2" t="e">
        <f>AND('MATRIX - Case Level'!F20,"AAAAACet/qs=")</f>
        <v>#VALUE!</v>
      </c>
      <c r="FQ2" t="e">
        <f>AND('MATRIX - Case Level'!G20,"AAAAACet/qw=")</f>
        <v>#VALUE!</v>
      </c>
      <c r="FR2" t="e">
        <f>AND('MATRIX - Case Level'!H20,"AAAAACet/q0=")</f>
        <v>#VALUE!</v>
      </c>
      <c r="FS2" t="e">
        <f>AND('MATRIX - Case Level'!I20,"AAAAACet/q4=")</f>
        <v>#VALUE!</v>
      </c>
      <c r="FT2" t="e">
        <f>AND('MATRIX - Case Level'!J20,"AAAAACet/q8=")</f>
        <v>#VALUE!</v>
      </c>
      <c r="FU2" t="e">
        <f>AND('MATRIX - Case Level'!K20,"AAAAACet/rA=")</f>
        <v>#VALUE!</v>
      </c>
      <c r="FV2" t="e">
        <f>AND('MATRIX - Case Level'!L20,"AAAAACet/rE=")</f>
        <v>#VALUE!</v>
      </c>
      <c r="FW2" t="e">
        <f>AND('MATRIX - Case Level'!#REF!,"AAAAACet/rI=")</f>
        <v>#REF!</v>
      </c>
      <c r="FX2" t="e">
        <f>AND('MATRIX - Case Level'!O20,"AAAAACet/rM=")</f>
        <v>#VALUE!</v>
      </c>
      <c r="FY2" t="e">
        <f>AND('MATRIX - Case Level'!P20,"AAAAACet/rQ=")</f>
        <v>#VALUE!</v>
      </c>
      <c r="FZ2" t="e">
        <f>AND('MATRIX - Case Level'!Q20,"AAAAACet/rU=")</f>
        <v>#VALUE!</v>
      </c>
      <c r="GA2" t="e">
        <f>AND('MATRIX - Case Level'!#REF!,"AAAAACet/rY=")</f>
        <v>#REF!</v>
      </c>
      <c r="GB2" t="e">
        <f>AND('MATRIX - Case Level'!#REF!,"AAAAACet/rc=")</f>
        <v>#REF!</v>
      </c>
      <c r="GC2">
        <f>IF('MATRIX - Case Level'!21:21,"AAAAACet/rg=",0)</f>
        <v>0</v>
      </c>
      <c r="GD2" t="e">
        <f>AND('MATRIX - Case Level'!A21,"AAAAACet/rk=")</f>
        <v>#VALUE!</v>
      </c>
      <c r="GE2" t="e">
        <f>AND('MATRIX - Case Level'!B21,"AAAAACet/ro=")</f>
        <v>#VALUE!</v>
      </c>
      <c r="GF2" t="e">
        <f>AND('MATRIX - Case Level'!C21,"AAAAACet/rs=")</f>
        <v>#VALUE!</v>
      </c>
      <c r="GG2" t="e">
        <f>AND('MATRIX - Case Level'!#REF!,"AAAAACet/rw=")</f>
        <v>#REF!</v>
      </c>
      <c r="GH2" t="e">
        <f>AND('MATRIX - Case Level'!D21,"AAAAACet/r0=")</f>
        <v>#VALUE!</v>
      </c>
      <c r="GI2" t="e">
        <f>AND('MATRIX - Case Level'!E21,"AAAAACet/r4=")</f>
        <v>#VALUE!</v>
      </c>
      <c r="GJ2" t="e">
        <f>AND('MATRIX - Case Level'!F21,"AAAAACet/r8=")</f>
        <v>#VALUE!</v>
      </c>
      <c r="GK2" t="e">
        <f>AND('MATRIX - Case Level'!G21,"AAAAACet/sA=")</f>
        <v>#VALUE!</v>
      </c>
      <c r="GL2" t="e">
        <f>AND('MATRIX - Case Level'!H21,"AAAAACet/sE=")</f>
        <v>#VALUE!</v>
      </c>
      <c r="GM2" t="e">
        <f>AND('MATRIX - Case Level'!I21,"AAAAACet/sI=")</f>
        <v>#VALUE!</v>
      </c>
      <c r="GN2" t="e">
        <f>AND('MATRIX - Case Level'!J21,"AAAAACet/sM=")</f>
        <v>#VALUE!</v>
      </c>
      <c r="GO2" t="e">
        <f>AND('MATRIX - Case Level'!K21,"AAAAACet/sQ=")</f>
        <v>#VALUE!</v>
      </c>
      <c r="GP2" t="e">
        <f>AND('MATRIX - Case Level'!L21,"AAAAACet/sU=")</f>
        <v>#VALUE!</v>
      </c>
      <c r="GQ2" t="e">
        <f>AND('MATRIX - Case Level'!#REF!,"AAAAACet/sY=")</f>
        <v>#REF!</v>
      </c>
      <c r="GR2" t="e">
        <f>AND('MATRIX - Case Level'!O21,"AAAAACet/sc=")</f>
        <v>#VALUE!</v>
      </c>
      <c r="GS2" t="e">
        <f>AND('MATRIX - Case Level'!P21,"AAAAACet/sg=")</f>
        <v>#VALUE!</v>
      </c>
      <c r="GT2" t="e">
        <f>AND('MATRIX - Case Level'!Q21,"AAAAACet/sk=")</f>
        <v>#VALUE!</v>
      </c>
      <c r="GU2" t="e">
        <f>AND('MATRIX - Case Level'!#REF!,"AAAAACet/so=")</f>
        <v>#REF!</v>
      </c>
      <c r="GV2" t="e">
        <f>AND('MATRIX - Case Level'!#REF!,"AAAAACet/ss=")</f>
        <v>#REF!</v>
      </c>
      <c r="GW2" t="e">
        <f>IF('MATRIX - Case Level'!#REF!,"AAAAACet/sw=",0)</f>
        <v>#REF!</v>
      </c>
      <c r="GX2" t="e">
        <f>AND('MATRIX - Case Level'!#REF!,"AAAAACet/s0=")</f>
        <v>#REF!</v>
      </c>
      <c r="GY2" t="e">
        <f>AND('MATRIX - Case Level'!#REF!,"AAAAACet/s4=")</f>
        <v>#REF!</v>
      </c>
      <c r="GZ2" t="e">
        <f>AND('MATRIX - Case Level'!#REF!,"AAAAACet/s8=")</f>
        <v>#REF!</v>
      </c>
      <c r="HA2" t="e">
        <f>AND('MATRIX - Case Level'!#REF!,"AAAAACet/tA=")</f>
        <v>#REF!</v>
      </c>
      <c r="HB2" t="e">
        <f>AND('MATRIX - Case Level'!#REF!,"AAAAACet/tE=")</f>
        <v>#REF!</v>
      </c>
      <c r="HC2" t="e">
        <f>AND('MATRIX - Case Level'!#REF!,"AAAAACet/tI=")</f>
        <v>#REF!</v>
      </c>
      <c r="HD2" t="e">
        <f>AND('MATRIX - Case Level'!#REF!,"AAAAACet/tM=")</f>
        <v>#REF!</v>
      </c>
      <c r="HE2" t="e">
        <f>AND('MATRIX - Case Level'!#REF!,"AAAAACet/tQ=")</f>
        <v>#REF!</v>
      </c>
      <c r="HF2" t="e">
        <f>AND('MATRIX - Case Level'!#REF!,"AAAAACet/tU=")</f>
        <v>#REF!</v>
      </c>
      <c r="HG2" t="e">
        <f>AND('MATRIX - Case Level'!#REF!,"AAAAACet/tY=")</f>
        <v>#REF!</v>
      </c>
      <c r="HH2" t="e">
        <f>AND('MATRIX - Case Level'!#REF!,"AAAAACet/tc=")</f>
        <v>#REF!</v>
      </c>
      <c r="HI2" t="e">
        <f>AND('MATRIX - Case Level'!#REF!,"AAAAACet/tg=")</f>
        <v>#REF!</v>
      </c>
      <c r="HJ2" t="e">
        <f>AND('MATRIX - Case Level'!#REF!,"AAAAACet/tk=")</f>
        <v>#REF!</v>
      </c>
      <c r="HK2" t="e">
        <f>AND('MATRIX - Case Level'!#REF!,"AAAAACet/to=")</f>
        <v>#REF!</v>
      </c>
      <c r="HL2" t="e">
        <f>AND('MATRIX - Case Level'!#REF!,"AAAAACet/ts=")</f>
        <v>#REF!</v>
      </c>
      <c r="HM2" t="e">
        <f>AND('MATRIX - Case Level'!#REF!,"AAAAACet/tw=")</f>
        <v>#REF!</v>
      </c>
      <c r="HN2" t="e">
        <f>AND('MATRIX - Case Level'!#REF!,"AAAAACet/t0=")</f>
        <v>#REF!</v>
      </c>
      <c r="HO2" t="e">
        <f>AND('MATRIX - Case Level'!#REF!,"AAAAACet/t4=")</f>
        <v>#REF!</v>
      </c>
      <c r="HP2" t="e">
        <f>AND('MATRIX - Case Level'!#REF!,"AAAAACet/t8=")</f>
        <v>#REF!</v>
      </c>
      <c r="HQ2">
        <f>IF('MATRIX - Case Level'!22:22,"AAAAACet/uA=",0)</f>
        <v>0</v>
      </c>
      <c r="HR2" t="e">
        <f>AND('MATRIX - Case Level'!A22,"AAAAACet/uE=")</f>
        <v>#VALUE!</v>
      </c>
      <c r="HS2" t="e">
        <f>AND('MATRIX - Case Level'!B22,"AAAAACet/uI=")</f>
        <v>#VALUE!</v>
      </c>
      <c r="HT2" t="e">
        <f>AND('MATRIX - Case Level'!C22,"AAAAACet/uM=")</f>
        <v>#VALUE!</v>
      </c>
      <c r="HU2" t="e">
        <f>AND('MATRIX - Case Level'!#REF!,"AAAAACet/uQ=")</f>
        <v>#REF!</v>
      </c>
      <c r="HV2" t="e">
        <f>AND('MATRIX - Case Level'!D22,"AAAAACet/uU=")</f>
        <v>#VALUE!</v>
      </c>
      <c r="HW2" t="e">
        <f>AND('MATRIX - Case Level'!E22,"AAAAACet/uY=")</f>
        <v>#VALUE!</v>
      </c>
      <c r="HX2" t="e">
        <f>AND('MATRIX - Case Level'!F22,"AAAAACet/uc=")</f>
        <v>#VALUE!</v>
      </c>
      <c r="HY2" t="e">
        <f>AND('MATRIX - Case Level'!G22,"AAAAACet/ug=")</f>
        <v>#VALUE!</v>
      </c>
      <c r="HZ2" t="e">
        <f>AND('MATRIX - Case Level'!H22,"AAAAACet/uk=")</f>
        <v>#VALUE!</v>
      </c>
      <c r="IA2" t="e">
        <f>AND('MATRIX - Case Level'!I22,"AAAAACet/uo=")</f>
        <v>#VALUE!</v>
      </c>
      <c r="IB2" t="e">
        <f>AND('MATRIX - Case Level'!J22,"AAAAACet/us=")</f>
        <v>#VALUE!</v>
      </c>
      <c r="IC2" t="e">
        <f>AND('MATRIX - Case Level'!K22,"AAAAACet/uw=")</f>
        <v>#VALUE!</v>
      </c>
      <c r="ID2" t="e">
        <f>AND('MATRIX - Case Level'!L22,"AAAAACet/u0=")</f>
        <v>#VALUE!</v>
      </c>
      <c r="IE2" t="e">
        <f>AND('MATRIX - Case Level'!#REF!,"AAAAACet/u4=")</f>
        <v>#REF!</v>
      </c>
      <c r="IF2" t="e">
        <f>AND('MATRIX - Case Level'!O22,"AAAAACet/u8=")</f>
        <v>#VALUE!</v>
      </c>
      <c r="IG2" t="e">
        <f>AND('MATRIX - Case Level'!P22,"AAAAACet/vA=")</f>
        <v>#VALUE!</v>
      </c>
      <c r="IH2" t="e">
        <f>AND('MATRIX - Case Level'!Q22,"AAAAACet/vE=")</f>
        <v>#VALUE!</v>
      </c>
      <c r="II2" t="e">
        <f>AND('MATRIX - Case Level'!#REF!,"AAAAACet/vI=")</f>
        <v>#REF!</v>
      </c>
      <c r="IJ2" t="e">
        <f>AND('MATRIX - Case Level'!#REF!,"AAAAACet/vM=")</f>
        <v>#REF!</v>
      </c>
      <c r="IK2">
        <f>IF('MATRIX - Case Level'!23:23,"AAAAACet/vQ=",0)</f>
        <v>0</v>
      </c>
      <c r="IL2" t="e">
        <f>AND('MATRIX - Case Level'!A23,"AAAAACet/vU=")</f>
        <v>#VALUE!</v>
      </c>
      <c r="IM2" t="e">
        <f>AND('MATRIX - Case Level'!B23,"AAAAACet/vY=")</f>
        <v>#VALUE!</v>
      </c>
      <c r="IN2" t="e">
        <f>AND('MATRIX - Case Level'!C23,"AAAAACet/vc=")</f>
        <v>#VALUE!</v>
      </c>
      <c r="IO2" t="e">
        <f>AND('MATRIX - Case Level'!#REF!,"AAAAACet/vg=")</f>
        <v>#REF!</v>
      </c>
      <c r="IP2" t="e">
        <f>AND('MATRIX - Case Level'!D23,"AAAAACet/vk=")</f>
        <v>#VALUE!</v>
      </c>
      <c r="IQ2" t="e">
        <f>AND('MATRIX - Case Level'!E23,"AAAAACet/vo=")</f>
        <v>#VALUE!</v>
      </c>
      <c r="IR2" t="e">
        <f>AND('MATRIX - Case Level'!F23,"AAAAACet/vs=")</f>
        <v>#VALUE!</v>
      </c>
      <c r="IS2" t="e">
        <f>AND('MATRIX - Case Level'!G23,"AAAAACet/vw=")</f>
        <v>#VALUE!</v>
      </c>
      <c r="IT2" t="e">
        <f>AND('MATRIX - Case Level'!H23,"AAAAACet/v0=")</f>
        <v>#VALUE!</v>
      </c>
      <c r="IU2" t="e">
        <f>AND('MATRIX - Case Level'!I23,"AAAAACet/v4=")</f>
        <v>#VALUE!</v>
      </c>
      <c r="IV2" t="e">
        <f>AND('MATRIX - Case Level'!J23,"AAAAACet/v8=")</f>
        <v>#VALUE!</v>
      </c>
    </row>
    <row r="3" spans="1:256" ht="12.75">
      <c r="A3" t="e">
        <f>AND('MATRIX - Case Level'!K23,"AAAAAHr/9gA=")</f>
        <v>#VALUE!</v>
      </c>
      <c r="B3" t="e">
        <f>AND('MATRIX - Case Level'!L23,"AAAAAHr/9gE=")</f>
        <v>#VALUE!</v>
      </c>
      <c r="C3" t="e">
        <f>AND('MATRIX - Case Level'!#REF!,"AAAAAHr/9gI=")</f>
        <v>#REF!</v>
      </c>
      <c r="D3" t="e">
        <f>AND('MATRIX - Case Level'!O23,"AAAAAHr/9gM=")</f>
        <v>#VALUE!</v>
      </c>
      <c r="E3" t="e">
        <f>AND('MATRIX - Case Level'!P23,"AAAAAHr/9gQ=")</f>
        <v>#VALUE!</v>
      </c>
      <c r="F3" t="e">
        <f>AND('MATRIX - Case Level'!Q23,"AAAAAHr/9gU=")</f>
        <v>#VALUE!</v>
      </c>
      <c r="G3" t="e">
        <f>AND('MATRIX - Case Level'!#REF!,"AAAAAHr/9gY=")</f>
        <v>#REF!</v>
      </c>
      <c r="H3" t="e">
        <f>AND('MATRIX - Case Level'!#REF!,"AAAAAHr/9gc=")</f>
        <v>#REF!</v>
      </c>
      <c r="I3" t="e">
        <f>IF('MATRIX - Case Level'!24:24,"AAAAAHr/9gg=",0)</f>
        <v>#VALUE!</v>
      </c>
      <c r="J3" t="e">
        <f>AND('MATRIX - Case Level'!A24,"AAAAAHr/9gk=")</f>
        <v>#VALUE!</v>
      </c>
      <c r="K3" t="e">
        <f>AND('MATRIX - Case Level'!B24,"AAAAAHr/9go=")</f>
        <v>#VALUE!</v>
      </c>
      <c r="L3" t="e">
        <f>AND('MATRIX - Case Level'!C24,"AAAAAHr/9gs=")</f>
        <v>#VALUE!</v>
      </c>
      <c r="M3" t="e">
        <f>AND('MATRIX - Case Level'!#REF!,"AAAAAHr/9gw=")</f>
        <v>#REF!</v>
      </c>
      <c r="N3" t="e">
        <f>AND('MATRIX - Case Level'!D24,"AAAAAHr/9g0=")</f>
        <v>#VALUE!</v>
      </c>
      <c r="O3" t="e">
        <f>AND('MATRIX - Case Level'!E24,"AAAAAHr/9g4=")</f>
        <v>#VALUE!</v>
      </c>
      <c r="P3" t="e">
        <f>AND('MATRIX - Case Level'!F24,"AAAAAHr/9g8=")</f>
        <v>#VALUE!</v>
      </c>
      <c r="Q3" t="e">
        <f>AND('MATRIX - Case Level'!G24,"AAAAAHr/9hA=")</f>
        <v>#VALUE!</v>
      </c>
      <c r="R3" t="e">
        <f>AND('MATRIX - Case Level'!H24,"AAAAAHr/9hE=")</f>
        <v>#VALUE!</v>
      </c>
      <c r="S3" t="e">
        <f>AND('MATRIX - Case Level'!I24,"AAAAAHr/9hI=")</f>
        <v>#VALUE!</v>
      </c>
      <c r="T3" t="e">
        <f>AND('MATRIX - Case Level'!J24,"AAAAAHr/9hM=")</f>
        <v>#VALUE!</v>
      </c>
      <c r="U3" t="e">
        <f>AND('MATRIX - Case Level'!K24,"AAAAAHr/9hQ=")</f>
        <v>#VALUE!</v>
      </c>
      <c r="V3" t="e">
        <f>AND('MATRIX - Case Level'!L24,"AAAAAHr/9hU=")</f>
        <v>#VALUE!</v>
      </c>
      <c r="W3" t="e">
        <f>AND('MATRIX - Case Level'!#REF!,"AAAAAHr/9hY=")</f>
        <v>#REF!</v>
      </c>
      <c r="X3" t="e">
        <f>AND('MATRIX - Case Level'!O24,"AAAAAHr/9hc=")</f>
        <v>#VALUE!</v>
      </c>
      <c r="Y3" t="e">
        <f>AND('MATRIX - Case Level'!P24,"AAAAAHr/9hg=")</f>
        <v>#VALUE!</v>
      </c>
      <c r="Z3" t="e">
        <f>AND('MATRIX - Case Level'!Q24,"AAAAAHr/9hk=")</f>
        <v>#VALUE!</v>
      </c>
      <c r="AA3" t="e">
        <f>AND('MATRIX - Case Level'!#REF!,"AAAAAHr/9ho=")</f>
        <v>#REF!</v>
      </c>
      <c r="AB3" t="e">
        <f>AND('MATRIX - Case Level'!#REF!,"AAAAAHr/9hs=")</f>
        <v>#REF!</v>
      </c>
      <c r="AC3" t="e">
        <f>IF('MATRIX - Case Level'!#REF!,"AAAAAHr/9hw=",0)</f>
        <v>#REF!</v>
      </c>
      <c r="AD3" t="e">
        <f>AND('MATRIX - Case Level'!#REF!,"AAAAAHr/9h0=")</f>
        <v>#REF!</v>
      </c>
      <c r="AE3" t="e">
        <f>AND('MATRIX - Case Level'!#REF!,"AAAAAHr/9h4=")</f>
        <v>#REF!</v>
      </c>
      <c r="AF3" t="e">
        <f>AND('MATRIX - Case Level'!#REF!,"AAAAAHr/9h8=")</f>
        <v>#REF!</v>
      </c>
      <c r="AG3" t="e">
        <f>AND('MATRIX - Case Level'!#REF!,"AAAAAHr/9iA=")</f>
        <v>#REF!</v>
      </c>
      <c r="AH3" t="e">
        <f>AND('MATRIX - Case Level'!#REF!,"AAAAAHr/9iE=")</f>
        <v>#REF!</v>
      </c>
      <c r="AI3" t="e">
        <f>AND('MATRIX - Case Level'!#REF!,"AAAAAHr/9iI=")</f>
        <v>#REF!</v>
      </c>
      <c r="AJ3" t="e">
        <f>AND('MATRIX - Case Level'!#REF!,"AAAAAHr/9iM=")</f>
        <v>#REF!</v>
      </c>
      <c r="AK3" t="e">
        <f>AND('MATRIX - Case Level'!#REF!,"AAAAAHr/9iQ=")</f>
        <v>#REF!</v>
      </c>
      <c r="AL3" t="e">
        <f>AND('MATRIX - Case Level'!#REF!,"AAAAAHr/9iU=")</f>
        <v>#REF!</v>
      </c>
      <c r="AM3" t="e">
        <f>AND('MATRIX - Case Level'!#REF!,"AAAAAHr/9iY=")</f>
        <v>#REF!</v>
      </c>
      <c r="AN3" t="e">
        <f>AND('MATRIX - Case Level'!#REF!,"AAAAAHr/9ic=")</f>
        <v>#REF!</v>
      </c>
      <c r="AO3" t="e">
        <f>AND('MATRIX - Case Level'!#REF!,"AAAAAHr/9ig=")</f>
        <v>#REF!</v>
      </c>
      <c r="AP3" t="e">
        <f>AND('MATRIX - Case Level'!#REF!,"AAAAAHr/9ik=")</f>
        <v>#REF!</v>
      </c>
      <c r="AQ3" t="e">
        <f>AND('MATRIX - Case Level'!#REF!,"AAAAAHr/9io=")</f>
        <v>#REF!</v>
      </c>
      <c r="AR3" t="e">
        <f>AND('MATRIX - Case Level'!#REF!,"AAAAAHr/9is=")</f>
        <v>#REF!</v>
      </c>
      <c r="AS3" t="e">
        <f>AND('MATRIX - Case Level'!#REF!,"AAAAAHr/9iw=")</f>
        <v>#REF!</v>
      </c>
      <c r="AT3" t="e">
        <f>AND('MATRIX - Case Level'!#REF!,"AAAAAHr/9i0=")</f>
        <v>#REF!</v>
      </c>
      <c r="AU3" t="e">
        <f>AND('MATRIX - Case Level'!#REF!,"AAAAAHr/9i4=")</f>
        <v>#REF!</v>
      </c>
      <c r="AV3" t="e">
        <f>AND('MATRIX - Case Level'!#REF!,"AAAAAHr/9i8=")</f>
        <v>#REF!</v>
      </c>
      <c r="AW3">
        <f>IF('MATRIX - Case Level'!25:25,"AAAAAHr/9jA=",0)</f>
        <v>0</v>
      </c>
      <c r="AX3" t="e">
        <f>AND('MATRIX - Case Level'!A25,"AAAAAHr/9jE=")</f>
        <v>#VALUE!</v>
      </c>
      <c r="AY3" t="e">
        <f>AND('MATRIX - Case Level'!B25,"AAAAAHr/9jI=")</f>
        <v>#VALUE!</v>
      </c>
      <c r="AZ3" t="e">
        <f>AND('MATRIX - Case Level'!C25,"AAAAAHr/9jM=")</f>
        <v>#VALUE!</v>
      </c>
      <c r="BA3" t="e">
        <f>AND('MATRIX - Case Level'!#REF!,"AAAAAHr/9jQ=")</f>
        <v>#REF!</v>
      </c>
      <c r="BB3" t="e">
        <f>AND('MATRIX - Case Level'!D25,"AAAAAHr/9jU=")</f>
        <v>#VALUE!</v>
      </c>
      <c r="BC3" t="e">
        <f>AND('MATRIX - Case Level'!E25,"AAAAAHr/9jY=")</f>
        <v>#VALUE!</v>
      </c>
      <c r="BD3" t="e">
        <f>AND('MATRIX - Case Level'!F25,"AAAAAHr/9jc=")</f>
        <v>#VALUE!</v>
      </c>
      <c r="BE3" t="e">
        <f>AND('MATRIX - Case Level'!G25,"AAAAAHr/9jg=")</f>
        <v>#VALUE!</v>
      </c>
      <c r="BF3" t="e">
        <f>AND('MATRIX - Case Level'!H25,"AAAAAHr/9jk=")</f>
        <v>#VALUE!</v>
      </c>
      <c r="BG3" t="e">
        <f>AND('MATRIX - Case Level'!I25,"AAAAAHr/9jo=")</f>
        <v>#VALUE!</v>
      </c>
      <c r="BH3" t="e">
        <f>AND('MATRIX - Case Level'!J25,"AAAAAHr/9js=")</f>
        <v>#VALUE!</v>
      </c>
      <c r="BI3" t="e">
        <f>AND('MATRIX - Case Level'!K25,"AAAAAHr/9jw=")</f>
        <v>#VALUE!</v>
      </c>
      <c r="BJ3" t="e">
        <f>AND('MATRIX - Case Level'!L25,"AAAAAHr/9j0=")</f>
        <v>#VALUE!</v>
      </c>
      <c r="BK3" t="e">
        <f>AND('MATRIX - Case Level'!#REF!,"AAAAAHr/9j4=")</f>
        <v>#REF!</v>
      </c>
      <c r="BL3" t="e">
        <f>AND('MATRIX - Case Level'!O25,"AAAAAHr/9j8=")</f>
        <v>#VALUE!</v>
      </c>
      <c r="BM3" t="e">
        <f>AND('MATRIX - Case Level'!P25,"AAAAAHr/9kA=")</f>
        <v>#VALUE!</v>
      </c>
      <c r="BN3" t="e">
        <f>AND('MATRIX - Case Level'!Q25,"AAAAAHr/9kE=")</f>
        <v>#VALUE!</v>
      </c>
      <c r="BO3" t="e">
        <f>AND('MATRIX - Case Level'!#REF!,"AAAAAHr/9kI=")</f>
        <v>#REF!</v>
      </c>
      <c r="BP3" t="e">
        <f>AND('MATRIX - Case Level'!#REF!,"AAAAAHr/9kM=")</f>
        <v>#REF!</v>
      </c>
      <c r="BQ3">
        <f>IF('MATRIX - Case Level'!26:26,"AAAAAHr/9kQ=",0)</f>
        <v>0</v>
      </c>
      <c r="BR3" t="e">
        <f>AND('MATRIX - Case Level'!A26,"AAAAAHr/9kU=")</f>
        <v>#VALUE!</v>
      </c>
      <c r="BS3" t="e">
        <f>AND('MATRIX - Case Level'!B26,"AAAAAHr/9kY=")</f>
        <v>#VALUE!</v>
      </c>
      <c r="BT3" t="e">
        <f>AND('MATRIX - Case Level'!C26,"AAAAAHr/9kc=")</f>
        <v>#VALUE!</v>
      </c>
      <c r="BU3" t="e">
        <f>AND('MATRIX - Case Level'!#REF!,"AAAAAHr/9kg=")</f>
        <v>#REF!</v>
      </c>
      <c r="BV3" t="e">
        <f>AND('MATRIX - Case Level'!D26,"AAAAAHr/9kk=")</f>
        <v>#VALUE!</v>
      </c>
      <c r="BW3" t="e">
        <f>AND('MATRIX - Case Level'!E26,"AAAAAHr/9ko=")</f>
        <v>#VALUE!</v>
      </c>
      <c r="BX3" t="e">
        <f>AND('MATRIX - Case Level'!F26,"AAAAAHr/9ks=")</f>
        <v>#VALUE!</v>
      </c>
      <c r="BY3" t="e">
        <f>AND('MATRIX - Case Level'!G26,"AAAAAHr/9kw=")</f>
        <v>#VALUE!</v>
      </c>
      <c r="BZ3" t="e">
        <f>AND('MATRIX - Case Level'!H26,"AAAAAHr/9k0=")</f>
        <v>#VALUE!</v>
      </c>
      <c r="CA3" t="e">
        <f>AND('MATRIX - Case Level'!I26,"AAAAAHr/9k4=")</f>
        <v>#VALUE!</v>
      </c>
      <c r="CB3" t="e">
        <f>AND('MATRIX - Case Level'!J26,"AAAAAHr/9k8=")</f>
        <v>#VALUE!</v>
      </c>
      <c r="CC3" t="e">
        <f>AND('MATRIX - Case Level'!K26,"AAAAAHr/9lA=")</f>
        <v>#VALUE!</v>
      </c>
      <c r="CD3" t="e">
        <f>AND('MATRIX - Case Level'!L26,"AAAAAHr/9lE=")</f>
        <v>#VALUE!</v>
      </c>
      <c r="CE3" t="e">
        <f>AND('MATRIX - Case Level'!#REF!,"AAAAAHr/9lI=")</f>
        <v>#REF!</v>
      </c>
      <c r="CF3" t="e">
        <f>AND('MATRIX - Case Level'!O26,"AAAAAHr/9lM=")</f>
        <v>#VALUE!</v>
      </c>
      <c r="CG3" t="e">
        <f>AND('MATRIX - Case Level'!P26,"AAAAAHr/9lQ=")</f>
        <v>#VALUE!</v>
      </c>
      <c r="CH3" t="e">
        <f>AND('MATRIX - Case Level'!Q26,"AAAAAHr/9lU=")</f>
        <v>#VALUE!</v>
      </c>
      <c r="CI3" t="e">
        <f>AND('MATRIX - Case Level'!#REF!,"AAAAAHr/9lY=")</f>
        <v>#REF!</v>
      </c>
      <c r="CJ3" t="e">
        <f>AND('MATRIX - Case Level'!#REF!,"AAAAAHr/9lc=")</f>
        <v>#REF!</v>
      </c>
      <c r="CK3">
        <f>IF('MATRIX - Case Level'!27:27,"AAAAAHr/9lg=",0)</f>
        <v>0</v>
      </c>
      <c r="CL3" t="e">
        <f>AND('MATRIX - Case Level'!A27,"AAAAAHr/9lk=")</f>
        <v>#VALUE!</v>
      </c>
      <c r="CM3" t="e">
        <f>AND('MATRIX - Case Level'!B27,"AAAAAHr/9lo=")</f>
        <v>#VALUE!</v>
      </c>
      <c r="CN3" t="e">
        <f>AND('MATRIX - Case Level'!C27,"AAAAAHr/9ls=")</f>
        <v>#VALUE!</v>
      </c>
      <c r="CO3" t="e">
        <f>AND('MATRIX - Case Level'!#REF!,"AAAAAHr/9lw=")</f>
        <v>#REF!</v>
      </c>
      <c r="CP3" t="e">
        <f>AND('MATRIX - Case Level'!D27,"AAAAAHr/9l0=")</f>
        <v>#VALUE!</v>
      </c>
      <c r="CQ3" t="e">
        <f>AND('MATRIX - Case Level'!E27,"AAAAAHr/9l4=")</f>
        <v>#VALUE!</v>
      </c>
      <c r="CR3" t="e">
        <f>AND('MATRIX - Case Level'!F27,"AAAAAHr/9l8=")</f>
        <v>#VALUE!</v>
      </c>
      <c r="CS3" t="e">
        <f>AND('MATRIX - Case Level'!G27,"AAAAAHr/9mA=")</f>
        <v>#VALUE!</v>
      </c>
      <c r="CT3" t="e">
        <f>AND('MATRIX - Case Level'!H27,"AAAAAHr/9mE=")</f>
        <v>#VALUE!</v>
      </c>
      <c r="CU3" t="e">
        <f>AND('MATRIX - Case Level'!I27,"AAAAAHr/9mI=")</f>
        <v>#VALUE!</v>
      </c>
      <c r="CV3" t="e">
        <f>AND('MATRIX - Case Level'!J27,"AAAAAHr/9mM=")</f>
        <v>#VALUE!</v>
      </c>
      <c r="CW3" t="e">
        <f>AND('MATRIX - Case Level'!K27,"AAAAAHr/9mQ=")</f>
        <v>#VALUE!</v>
      </c>
      <c r="CX3" t="e">
        <f>AND('MATRIX - Case Level'!L27,"AAAAAHr/9mU=")</f>
        <v>#VALUE!</v>
      </c>
      <c r="CY3" t="e">
        <f>AND('MATRIX - Case Level'!#REF!,"AAAAAHr/9mY=")</f>
        <v>#REF!</v>
      </c>
      <c r="CZ3" t="e">
        <f>AND('MATRIX - Case Level'!O27,"AAAAAHr/9mc=")</f>
        <v>#VALUE!</v>
      </c>
      <c r="DA3" t="e">
        <f>AND('MATRIX - Case Level'!P27,"AAAAAHr/9mg=")</f>
        <v>#VALUE!</v>
      </c>
      <c r="DB3" t="e">
        <f>AND('MATRIX - Case Level'!Q27,"AAAAAHr/9mk=")</f>
        <v>#VALUE!</v>
      </c>
      <c r="DC3" t="e">
        <f>AND('MATRIX - Case Level'!#REF!,"AAAAAHr/9mo=")</f>
        <v>#REF!</v>
      </c>
      <c r="DD3" t="e">
        <f>AND('MATRIX - Case Level'!#REF!,"AAAAAHr/9ms=")</f>
        <v>#REF!</v>
      </c>
      <c r="DE3">
        <f>IF('MATRIX - Case Level'!28:28,"AAAAAHr/9mw=",0)</f>
        <v>0</v>
      </c>
      <c r="DF3" t="e">
        <f>AND('MATRIX - Case Level'!A28,"AAAAAHr/9m0=")</f>
        <v>#VALUE!</v>
      </c>
      <c r="DG3" t="e">
        <f>AND('MATRIX - Case Level'!B28,"AAAAAHr/9m4=")</f>
        <v>#VALUE!</v>
      </c>
      <c r="DH3" t="e">
        <f>AND('MATRIX - Case Level'!C28,"AAAAAHr/9m8=")</f>
        <v>#VALUE!</v>
      </c>
      <c r="DI3" t="e">
        <f>AND('MATRIX - Case Level'!#REF!,"AAAAAHr/9nA=")</f>
        <v>#REF!</v>
      </c>
      <c r="DJ3" t="e">
        <f>AND('MATRIX - Case Level'!D28,"AAAAAHr/9nE=")</f>
        <v>#VALUE!</v>
      </c>
      <c r="DK3" t="e">
        <f>AND('MATRIX - Case Level'!E28,"AAAAAHr/9nI=")</f>
        <v>#VALUE!</v>
      </c>
      <c r="DL3" t="e">
        <f>AND('MATRIX - Case Level'!F28,"AAAAAHr/9nM=")</f>
        <v>#VALUE!</v>
      </c>
      <c r="DM3" t="e">
        <f>AND('MATRIX - Case Level'!G28,"AAAAAHr/9nQ=")</f>
        <v>#VALUE!</v>
      </c>
      <c r="DN3" t="e">
        <f>AND('MATRIX - Case Level'!H28,"AAAAAHr/9nU=")</f>
        <v>#VALUE!</v>
      </c>
      <c r="DO3" t="e">
        <f>AND('MATRIX - Case Level'!I28,"AAAAAHr/9nY=")</f>
        <v>#VALUE!</v>
      </c>
      <c r="DP3" t="e">
        <f>AND('MATRIX - Case Level'!J28,"AAAAAHr/9nc=")</f>
        <v>#VALUE!</v>
      </c>
      <c r="DQ3" t="e">
        <f>AND('MATRIX - Case Level'!K28,"AAAAAHr/9ng=")</f>
        <v>#VALUE!</v>
      </c>
      <c r="DR3" t="e">
        <f>AND('MATRIX - Case Level'!L28,"AAAAAHr/9nk=")</f>
        <v>#VALUE!</v>
      </c>
      <c r="DS3" t="e">
        <f>AND('MATRIX - Case Level'!#REF!,"AAAAAHr/9no=")</f>
        <v>#REF!</v>
      </c>
      <c r="DT3" t="e">
        <f>AND('MATRIX - Case Level'!O28,"AAAAAHr/9ns=")</f>
        <v>#VALUE!</v>
      </c>
      <c r="DU3" t="e">
        <f>AND('MATRIX - Case Level'!P28,"AAAAAHr/9nw=")</f>
        <v>#VALUE!</v>
      </c>
      <c r="DV3" t="e">
        <f>AND('MATRIX - Case Level'!Q28,"AAAAAHr/9n0=")</f>
        <v>#VALUE!</v>
      </c>
      <c r="DW3" t="e">
        <f>AND('MATRIX - Case Level'!#REF!,"AAAAAHr/9n4=")</f>
        <v>#REF!</v>
      </c>
      <c r="DX3" t="e">
        <f>AND('MATRIX - Case Level'!#REF!,"AAAAAHr/9n8=")</f>
        <v>#REF!</v>
      </c>
      <c r="DY3">
        <f>IF('MATRIX - Case Level'!29:29,"AAAAAHr/9oA=",0)</f>
        <v>0</v>
      </c>
      <c r="DZ3" t="e">
        <f>AND('MATRIX - Case Level'!A29,"AAAAAHr/9oE=")</f>
        <v>#VALUE!</v>
      </c>
      <c r="EA3" t="e">
        <f>AND('MATRIX - Case Level'!B29,"AAAAAHr/9oI=")</f>
        <v>#VALUE!</v>
      </c>
      <c r="EB3" t="e">
        <f>AND('MATRIX - Case Level'!C29,"AAAAAHr/9oM=")</f>
        <v>#VALUE!</v>
      </c>
      <c r="EC3" t="e">
        <f>AND('MATRIX - Case Level'!#REF!,"AAAAAHr/9oQ=")</f>
        <v>#REF!</v>
      </c>
      <c r="ED3" t="e">
        <f>AND('MATRIX - Case Level'!D29,"AAAAAHr/9oU=")</f>
        <v>#VALUE!</v>
      </c>
      <c r="EE3" t="e">
        <f>AND('MATRIX - Case Level'!E29,"AAAAAHr/9oY=")</f>
        <v>#VALUE!</v>
      </c>
      <c r="EF3" t="e">
        <f>AND('MATRIX - Case Level'!F29,"AAAAAHr/9oc=")</f>
        <v>#VALUE!</v>
      </c>
      <c r="EG3" t="e">
        <f>AND('MATRIX - Case Level'!G29,"AAAAAHr/9og=")</f>
        <v>#VALUE!</v>
      </c>
      <c r="EH3" t="e">
        <f>AND('MATRIX - Case Level'!H29,"AAAAAHr/9ok=")</f>
        <v>#VALUE!</v>
      </c>
      <c r="EI3" t="e">
        <f>AND('MATRIX - Case Level'!I29,"AAAAAHr/9oo=")</f>
        <v>#VALUE!</v>
      </c>
      <c r="EJ3" t="e">
        <f>AND('MATRIX - Case Level'!J29,"AAAAAHr/9os=")</f>
        <v>#VALUE!</v>
      </c>
      <c r="EK3" t="e">
        <f>AND('MATRIX - Case Level'!K29,"AAAAAHr/9ow=")</f>
        <v>#VALUE!</v>
      </c>
      <c r="EL3" t="e">
        <f>AND('MATRIX - Case Level'!L29,"AAAAAHr/9o0=")</f>
        <v>#VALUE!</v>
      </c>
      <c r="EM3" t="e">
        <f>AND('MATRIX - Case Level'!#REF!,"AAAAAHr/9o4=")</f>
        <v>#REF!</v>
      </c>
      <c r="EN3" t="e">
        <f>AND('MATRIX - Case Level'!O29,"AAAAAHr/9o8=")</f>
        <v>#VALUE!</v>
      </c>
      <c r="EO3" t="e">
        <f>AND('MATRIX - Case Level'!P29,"AAAAAHr/9pA=")</f>
        <v>#VALUE!</v>
      </c>
      <c r="EP3" t="e">
        <f>AND('MATRIX - Case Level'!Q29,"AAAAAHr/9pE=")</f>
        <v>#VALUE!</v>
      </c>
      <c r="EQ3" t="e">
        <f>AND('MATRIX - Case Level'!#REF!,"AAAAAHr/9pI=")</f>
        <v>#REF!</v>
      </c>
      <c r="ER3" t="e">
        <f>AND('MATRIX - Case Level'!#REF!,"AAAAAHr/9pM=")</f>
        <v>#REF!</v>
      </c>
      <c r="ES3">
        <f>IF('MATRIX - Case Level'!30:30,"AAAAAHr/9pQ=",0)</f>
        <v>0</v>
      </c>
      <c r="ET3" t="e">
        <f>AND('MATRIX - Case Level'!A30,"AAAAAHr/9pU=")</f>
        <v>#VALUE!</v>
      </c>
      <c r="EU3" t="e">
        <f>AND('MATRIX - Case Level'!B30,"AAAAAHr/9pY=")</f>
        <v>#VALUE!</v>
      </c>
      <c r="EV3" t="e">
        <f>AND('MATRIX - Case Level'!C30,"AAAAAHr/9pc=")</f>
        <v>#VALUE!</v>
      </c>
      <c r="EW3" t="e">
        <f>AND('MATRIX - Case Level'!#REF!,"AAAAAHr/9pg=")</f>
        <v>#REF!</v>
      </c>
      <c r="EX3" t="e">
        <f>AND('MATRIX - Case Level'!D30,"AAAAAHr/9pk=")</f>
        <v>#VALUE!</v>
      </c>
      <c r="EY3" t="e">
        <f>AND('MATRIX - Case Level'!E30,"AAAAAHr/9po=")</f>
        <v>#VALUE!</v>
      </c>
      <c r="EZ3" t="e">
        <f>AND('MATRIX - Case Level'!F30,"AAAAAHr/9ps=")</f>
        <v>#VALUE!</v>
      </c>
      <c r="FA3" t="e">
        <f>AND('MATRIX - Case Level'!G30,"AAAAAHr/9pw=")</f>
        <v>#VALUE!</v>
      </c>
      <c r="FB3" t="e">
        <f>AND('MATRIX - Case Level'!H30,"AAAAAHr/9p0=")</f>
        <v>#VALUE!</v>
      </c>
      <c r="FC3" t="e">
        <f>AND('MATRIX - Case Level'!I30,"AAAAAHr/9p4=")</f>
        <v>#VALUE!</v>
      </c>
      <c r="FD3" t="e">
        <f>AND('MATRIX - Case Level'!J30,"AAAAAHr/9p8=")</f>
        <v>#VALUE!</v>
      </c>
      <c r="FE3" t="e">
        <f>AND('MATRIX - Case Level'!K30,"AAAAAHr/9qA=")</f>
        <v>#VALUE!</v>
      </c>
      <c r="FF3" t="e">
        <f>AND('MATRIX - Case Level'!L30,"AAAAAHr/9qE=")</f>
        <v>#VALUE!</v>
      </c>
      <c r="FG3" t="e">
        <f>AND('MATRIX - Case Level'!#REF!,"AAAAAHr/9qI=")</f>
        <v>#REF!</v>
      </c>
      <c r="FH3" t="e">
        <f>AND('MATRIX - Case Level'!O30,"AAAAAHr/9qM=")</f>
        <v>#VALUE!</v>
      </c>
      <c r="FI3" t="e">
        <f>AND('MATRIX - Case Level'!P30,"AAAAAHr/9qQ=")</f>
        <v>#VALUE!</v>
      </c>
      <c r="FJ3" t="e">
        <f>AND('MATRIX - Case Level'!Q30,"AAAAAHr/9qU=")</f>
        <v>#VALUE!</v>
      </c>
      <c r="FK3" t="e">
        <f>AND('MATRIX - Case Level'!#REF!,"AAAAAHr/9qY=")</f>
        <v>#REF!</v>
      </c>
      <c r="FL3" t="e">
        <f>AND('MATRIX - Case Level'!#REF!,"AAAAAHr/9qc=")</f>
        <v>#REF!</v>
      </c>
      <c r="FM3">
        <f>IF('MATRIX - Case Level'!31:31,"AAAAAHr/9qg=",0)</f>
        <v>0</v>
      </c>
      <c r="FN3" t="e">
        <f>AND('MATRIX - Case Level'!A31,"AAAAAHr/9qk=")</f>
        <v>#VALUE!</v>
      </c>
      <c r="FO3" t="e">
        <f>AND('MATRIX - Case Level'!B31,"AAAAAHr/9qo=")</f>
        <v>#VALUE!</v>
      </c>
      <c r="FP3" t="e">
        <f>AND('MATRIX - Case Level'!C31,"AAAAAHr/9qs=")</f>
        <v>#VALUE!</v>
      </c>
      <c r="FQ3" t="e">
        <f>AND('MATRIX - Case Level'!#REF!,"AAAAAHr/9qw=")</f>
        <v>#REF!</v>
      </c>
      <c r="FR3" t="e">
        <f>AND('MATRIX - Case Level'!D31,"AAAAAHr/9q0=")</f>
        <v>#VALUE!</v>
      </c>
      <c r="FS3" t="e">
        <f>AND('MATRIX - Case Level'!E31,"AAAAAHr/9q4=")</f>
        <v>#VALUE!</v>
      </c>
      <c r="FT3" t="e">
        <f>AND('MATRIX - Case Level'!F31,"AAAAAHr/9q8=")</f>
        <v>#VALUE!</v>
      </c>
      <c r="FU3" t="e">
        <f>AND('MATRIX - Case Level'!G31,"AAAAAHr/9rA=")</f>
        <v>#VALUE!</v>
      </c>
      <c r="FV3" t="e">
        <f>AND('MATRIX - Case Level'!H31,"AAAAAHr/9rE=")</f>
        <v>#VALUE!</v>
      </c>
      <c r="FW3" t="e">
        <f>AND('MATRIX - Case Level'!I31,"AAAAAHr/9rI=")</f>
        <v>#VALUE!</v>
      </c>
      <c r="FX3" t="e">
        <f>AND('MATRIX - Case Level'!J31,"AAAAAHr/9rM=")</f>
        <v>#VALUE!</v>
      </c>
      <c r="FY3" t="e">
        <f>AND('MATRIX - Case Level'!K31,"AAAAAHr/9rQ=")</f>
        <v>#VALUE!</v>
      </c>
      <c r="FZ3" t="e">
        <f>AND('MATRIX - Case Level'!L31,"AAAAAHr/9rU=")</f>
        <v>#VALUE!</v>
      </c>
      <c r="GA3" t="e">
        <f>AND('MATRIX - Case Level'!#REF!,"AAAAAHr/9rY=")</f>
        <v>#REF!</v>
      </c>
      <c r="GB3" t="e">
        <f>AND('MATRIX - Case Level'!O31,"AAAAAHr/9rc=")</f>
        <v>#VALUE!</v>
      </c>
      <c r="GC3" t="e">
        <f>AND('MATRIX - Case Level'!P31,"AAAAAHr/9rg=")</f>
        <v>#VALUE!</v>
      </c>
      <c r="GD3" t="e">
        <f>AND('MATRIX - Case Level'!Q31,"AAAAAHr/9rk=")</f>
        <v>#VALUE!</v>
      </c>
      <c r="GE3" t="e">
        <f>AND('MATRIX - Case Level'!#REF!,"AAAAAHr/9ro=")</f>
        <v>#REF!</v>
      </c>
      <c r="GF3" t="e">
        <f>AND('MATRIX - Case Level'!#REF!,"AAAAAHr/9rs=")</f>
        <v>#REF!</v>
      </c>
      <c r="GG3">
        <f>IF('MATRIX - Case Level'!32:32,"AAAAAHr/9rw=",0)</f>
        <v>0</v>
      </c>
      <c r="GH3" t="e">
        <f>AND('MATRIX - Case Level'!A32,"AAAAAHr/9r0=")</f>
        <v>#VALUE!</v>
      </c>
      <c r="GI3" t="e">
        <f>AND('MATRIX - Case Level'!B32,"AAAAAHr/9r4=")</f>
        <v>#VALUE!</v>
      </c>
      <c r="GJ3" t="e">
        <f>AND('MATRIX - Case Level'!C32,"AAAAAHr/9r8=")</f>
        <v>#VALUE!</v>
      </c>
      <c r="GK3" t="e">
        <f>AND('MATRIX - Case Level'!#REF!,"AAAAAHr/9sA=")</f>
        <v>#REF!</v>
      </c>
      <c r="GL3" t="e">
        <f>AND('MATRIX - Case Level'!D32,"AAAAAHr/9sE=")</f>
        <v>#VALUE!</v>
      </c>
      <c r="GM3" t="e">
        <f>AND('MATRIX - Case Level'!E32,"AAAAAHr/9sI=")</f>
        <v>#VALUE!</v>
      </c>
      <c r="GN3" t="e">
        <f>AND('MATRIX - Case Level'!F32,"AAAAAHr/9sM=")</f>
        <v>#VALUE!</v>
      </c>
      <c r="GO3" t="e">
        <f>AND('MATRIX - Case Level'!G32,"AAAAAHr/9sQ=")</f>
        <v>#VALUE!</v>
      </c>
      <c r="GP3" t="e">
        <f>AND('MATRIX - Case Level'!H32,"AAAAAHr/9sU=")</f>
        <v>#VALUE!</v>
      </c>
      <c r="GQ3" t="e">
        <f>AND('MATRIX - Case Level'!I32,"AAAAAHr/9sY=")</f>
        <v>#VALUE!</v>
      </c>
      <c r="GR3" t="e">
        <f>AND('MATRIX - Case Level'!J32,"AAAAAHr/9sc=")</f>
        <v>#VALUE!</v>
      </c>
      <c r="GS3" t="e">
        <f>AND('MATRIX - Case Level'!K32,"AAAAAHr/9sg=")</f>
        <v>#VALUE!</v>
      </c>
      <c r="GT3" t="e">
        <f>AND('MATRIX - Case Level'!L32,"AAAAAHr/9sk=")</f>
        <v>#VALUE!</v>
      </c>
      <c r="GU3" t="e">
        <f>AND('MATRIX - Case Level'!#REF!,"AAAAAHr/9so=")</f>
        <v>#REF!</v>
      </c>
      <c r="GV3" t="e">
        <f>AND('MATRIX - Case Level'!O32,"AAAAAHr/9ss=")</f>
        <v>#VALUE!</v>
      </c>
      <c r="GW3" t="e">
        <f>AND('MATRIX - Case Level'!P32,"AAAAAHr/9sw=")</f>
        <v>#VALUE!</v>
      </c>
      <c r="GX3" t="e">
        <f>AND('MATRIX - Case Level'!Q32,"AAAAAHr/9s0=")</f>
        <v>#VALUE!</v>
      </c>
      <c r="GY3" t="e">
        <f>AND('MATRIX - Case Level'!#REF!,"AAAAAHr/9s4=")</f>
        <v>#REF!</v>
      </c>
      <c r="GZ3" t="e">
        <f>AND('MATRIX - Case Level'!#REF!,"AAAAAHr/9s8=")</f>
        <v>#REF!</v>
      </c>
      <c r="HA3" t="e">
        <f>IF(#REF!,"AAAAAHr/9tA=",0)</f>
        <v>#REF!</v>
      </c>
      <c r="HB3" t="e">
        <f>AND(#REF!,"AAAAAHr/9tE=")</f>
        <v>#REF!</v>
      </c>
      <c r="HC3" t="e">
        <f>AND(#REF!,"AAAAAHr/9tI=")</f>
        <v>#REF!</v>
      </c>
      <c r="HD3" t="e">
        <f>AND(#REF!,"AAAAAHr/9tM=")</f>
        <v>#REF!</v>
      </c>
      <c r="HE3" t="e">
        <f>AND(#REF!,"AAAAAHr/9tQ=")</f>
        <v>#REF!</v>
      </c>
      <c r="HF3" t="e">
        <f>AND(#REF!,"AAAAAHr/9tU=")</f>
        <v>#REF!</v>
      </c>
      <c r="HG3" t="e">
        <f>AND(#REF!,"AAAAAHr/9tY=")</f>
        <v>#REF!</v>
      </c>
      <c r="HH3" t="e">
        <f>AND(#REF!,"AAAAAHr/9tc=")</f>
        <v>#REF!</v>
      </c>
      <c r="HI3" t="e">
        <f>AND(#REF!,"AAAAAHr/9tg=")</f>
        <v>#REF!</v>
      </c>
      <c r="HJ3" t="e">
        <f>AND(#REF!,"AAAAAHr/9tk=")</f>
        <v>#REF!</v>
      </c>
      <c r="HK3" t="e">
        <f>AND(#REF!,"AAAAAHr/9to=")</f>
        <v>#REF!</v>
      </c>
      <c r="HL3" t="e">
        <f>AND(#REF!,"AAAAAHr/9ts=")</f>
        <v>#REF!</v>
      </c>
      <c r="HM3" t="e">
        <f>AND(#REF!,"AAAAAHr/9tw=")</f>
        <v>#REF!</v>
      </c>
      <c r="HN3" t="e">
        <f>AND(#REF!,"AAAAAHr/9t0=")</f>
        <v>#REF!</v>
      </c>
      <c r="HO3" t="e">
        <f>AND(#REF!,"AAAAAHr/9t4=")</f>
        <v>#REF!</v>
      </c>
      <c r="HP3" t="e">
        <f>AND(#REF!,"AAAAAHr/9t8=")</f>
        <v>#REF!</v>
      </c>
      <c r="HQ3" t="e">
        <f>AND(#REF!,"AAAAAHr/9uA=")</f>
        <v>#REF!</v>
      </c>
      <c r="HR3" t="e">
        <f>AND(#REF!,"AAAAAHr/9uE=")</f>
        <v>#REF!</v>
      </c>
      <c r="HS3" t="e">
        <f>AND(#REF!,"AAAAAHr/9uI=")</f>
        <v>#REF!</v>
      </c>
      <c r="HT3" t="e">
        <f>AND(#REF!,"AAAAAHr/9uM=")</f>
        <v>#REF!</v>
      </c>
      <c r="HU3" t="e">
        <f>IF(#REF!,"AAAAAHr/9uQ=",0)</f>
        <v>#REF!</v>
      </c>
      <c r="HV3" t="e">
        <f>AND(#REF!,"AAAAAHr/9uU=")</f>
        <v>#REF!</v>
      </c>
      <c r="HW3" t="e">
        <f>AND(#REF!,"AAAAAHr/9uY=")</f>
        <v>#REF!</v>
      </c>
      <c r="HX3" t="e">
        <f>AND(#REF!,"AAAAAHr/9uc=")</f>
        <v>#REF!</v>
      </c>
      <c r="HY3" t="e">
        <f>AND(#REF!,"AAAAAHr/9ug=")</f>
        <v>#REF!</v>
      </c>
      <c r="HZ3" t="e">
        <f>AND(#REF!,"AAAAAHr/9uk=")</f>
        <v>#REF!</v>
      </c>
      <c r="IA3" t="e">
        <f>AND(#REF!,"AAAAAHr/9uo=")</f>
        <v>#REF!</v>
      </c>
      <c r="IB3" t="e">
        <f>AND(#REF!,"AAAAAHr/9us=")</f>
        <v>#REF!</v>
      </c>
      <c r="IC3" t="e">
        <f>AND(#REF!,"AAAAAHr/9uw=")</f>
        <v>#REF!</v>
      </c>
      <c r="ID3" t="e">
        <f>AND(#REF!,"AAAAAHr/9u0=")</f>
        <v>#REF!</v>
      </c>
      <c r="IE3" t="e">
        <f>AND(#REF!,"AAAAAHr/9u4=")</f>
        <v>#REF!</v>
      </c>
      <c r="IF3" t="e">
        <f>AND(#REF!,"AAAAAHr/9u8=")</f>
        <v>#REF!</v>
      </c>
      <c r="IG3" t="e">
        <f>AND(#REF!,"AAAAAHr/9vA=")</f>
        <v>#REF!</v>
      </c>
      <c r="IH3" t="e">
        <f>AND(#REF!,"AAAAAHr/9vE=")</f>
        <v>#REF!</v>
      </c>
      <c r="II3" t="e">
        <f>AND(#REF!,"AAAAAHr/9vI=")</f>
        <v>#REF!</v>
      </c>
      <c r="IJ3" t="e">
        <f>AND(#REF!,"AAAAAHr/9vM=")</f>
        <v>#REF!</v>
      </c>
      <c r="IK3" t="e">
        <f>AND(#REF!,"AAAAAHr/9vQ=")</f>
        <v>#REF!</v>
      </c>
      <c r="IL3" t="e">
        <f>AND(#REF!,"AAAAAHr/9vU=")</f>
        <v>#REF!</v>
      </c>
      <c r="IM3" t="e">
        <f>AND(#REF!,"AAAAAHr/9vY=")</f>
        <v>#REF!</v>
      </c>
      <c r="IN3" t="e">
        <f>AND(#REF!,"AAAAAHr/9vc=")</f>
        <v>#REF!</v>
      </c>
      <c r="IO3" t="e">
        <f>IF(#REF!,"AAAAAHr/9vg=",0)</f>
        <v>#REF!</v>
      </c>
      <c r="IP3" t="e">
        <f>AND(#REF!,"AAAAAHr/9vk=")</f>
        <v>#REF!</v>
      </c>
      <c r="IQ3" t="e">
        <f>AND(#REF!,"AAAAAHr/9vo=")</f>
        <v>#REF!</v>
      </c>
      <c r="IR3" t="e">
        <f>AND(#REF!,"AAAAAHr/9vs=")</f>
        <v>#REF!</v>
      </c>
      <c r="IS3" t="e">
        <f>AND(#REF!,"AAAAAHr/9vw=")</f>
        <v>#REF!</v>
      </c>
      <c r="IT3" t="e">
        <f>AND(#REF!,"AAAAAHr/9v0=")</f>
        <v>#REF!</v>
      </c>
      <c r="IU3" t="e">
        <f>AND(#REF!,"AAAAAHr/9v4=")</f>
        <v>#REF!</v>
      </c>
      <c r="IV3" t="e">
        <f>AND(#REF!,"AAAAAHr/9v8=")</f>
        <v>#REF!</v>
      </c>
    </row>
    <row r="4" spans="1:256" ht="12.75">
      <c r="A4" t="e">
        <f>AND(#REF!,"AAAAAH7evQA=")</f>
        <v>#REF!</v>
      </c>
      <c r="B4" t="e">
        <f>AND(#REF!,"AAAAAH7evQE=")</f>
        <v>#REF!</v>
      </c>
      <c r="C4" t="e">
        <f>AND(#REF!,"AAAAAH7evQI=")</f>
        <v>#REF!</v>
      </c>
      <c r="D4" t="e">
        <f>AND(#REF!,"AAAAAH7evQM=")</f>
        <v>#REF!</v>
      </c>
      <c r="E4" t="e">
        <f>AND(#REF!,"AAAAAH7evQQ=")</f>
        <v>#REF!</v>
      </c>
      <c r="F4" t="e">
        <f>AND(#REF!,"AAAAAH7evQU=")</f>
        <v>#REF!</v>
      </c>
      <c r="G4" t="e">
        <f>AND(#REF!,"AAAAAH7evQY=")</f>
        <v>#REF!</v>
      </c>
      <c r="H4" t="e">
        <f>AND(#REF!,"AAAAAH7evQc=")</f>
        <v>#REF!</v>
      </c>
      <c r="I4" t="e">
        <f>AND(#REF!,"AAAAAH7evQg=")</f>
        <v>#REF!</v>
      </c>
      <c r="J4" t="e">
        <f>AND(#REF!,"AAAAAH7evQk=")</f>
        <v>#REF!</v>
      </c>
      <c r="K4" t="e">
        <f>AND(#REF!,"AAAAAH7evQo=")</f>
        <v>#REF!</v>
      </c>
      <c r="L4" t="e">
        <f>AND(#REF!,"AAAAAH7evQs=")</f>
        <v>#REF!</v>
      </c>
      <c r="M4" t="e">
        <f>IF('MATRIX - Case Level'!33:33,"AAAAAH7evQw=",0)</f>
        <v>#VALUE!</v>
      </c>
      <c r="N4" t="e">
        <f>AND('MATRIX - Case Level'!A33,"AAAAAH7evQ0=")</f>
        <v>#VALUE!</v>
      </c>
      <c r="O4" t="e">
        <f>AND('MATRIX - Case Level'!B33,"AAAAAH7evQ4=")</f>
        <v>#VALUE!</v>
      </c>
      <c r="P4" t="e">
        <f>AND('MATRIX - Case Level'!C33,"AAAAAH7evQ8=")</f>
        <v>#VALUE!</v>
      </c>
      <c r="Q4" t="e">
        <f>AND('MATRIX - Case Level'!#REF!,"AAAAAH7evRA=")</f>
        <v>#REF!</v>
      </c>
      <c r="R4" t="e">
        <f>AND('MATRIX - Case Level'!D33,"AAAAAH7evRE=")</f>
        <v>#VALUE!</v>
      </c>
      <c r="S4" t="e">
        <f>AND('MATRIX - Case Level'!E33,"AAAAAH7evRI=")</f>
        <v>#VALUE!</v>
      </c>
      <c r="T4" t="e">
        <f>AND('MATRIX - Case Level'!F33,"AAAAAH7evRM=")</f>
        <v>#VALUE!</v>
      </c>
      <c r="U4" t="e">
        <f>AND('MATRIX - Case Level'!G33,"AAAAAH7evRQ=")</f>
        <v>#VALUE!</v>
      </c>
      <c r="V4" t="e">
        <f>AND('MATRIX - Case Level'!H33,"AAAAAH7evRU=")</f>
        <v>#VALUE!</v>
      </c>
      <c r="W4" t="e">
        <f>AND('MATRIX - Case Level'!I33,"AAAAAH7evRY=")</f>
        <v>#VALUE!</v>
      </c>
      <c r="X4" t="e">
        <f>AND('MATRIX - Case Level'!J33,"AAAAAH7evRc=")</f>
        <v>#VALUE!</v>
      </c>
      <c r="Y4" t="e">
        <f>AND('MATRIX - Case Level'!K33,"AAAAAH7evRg=")</f>
        <v>#VALUE!</v>
      </c>
      <c r="Z4" t="e">
        <f>AND('MATRIX - Case Level'!L33,"AAAAAH7evRk=")</f>
        <v>#VALUE!</v>
      </c>
      <c r="AA4" t="e">
        <f>AND('MATRIX - Case Level'!#REF!,"AAAAAH7evRo=")</f>
        <v>#REF!</v>
      </c>
      <c r="AB4" t="e">
        <f>AND('MATRIX - Case Level'!O33,"AAAAAH7evRs=")</f>
        <v>#VALUE!</v>
      </c>
      <c r="AC4" t="e">
        <f>AND('MATRIX - Case Level'!P33,"AAAAAH7evRw=")</f>
        <v>#VALUE!</v>
      </c>
      <c r="AD4" t="e">
        <f>AND('MATRIX - Case Level'!Q33,"AAAAAH7evR0=")</f>
        <v>#VALUE!</v>
      </c>
      <c r="AE4" t="e">
        <f>AND('MATRIX - Case Level'!#REF!,"AAAAAH7evR4=")</f>
        <v>#REF!</v>
      </c>
      <c r="AF4" t="e">
        <f>AND('MATRIX - Case Level'!#REF!,"AAAAAH7evR8=")</f>
        <v>#REF!</v>
      </c>
      <c r="AG4">
        <f>IF('MATRIX - Case Level'!34:34,"AAAAAH7evSA=",0)</f>
        <v>0</v>
      </c>
      <c r="AH4" t="e">
        <f>AND('MATRIX - Case Level'!A34,"AAAAAH7evSE=")</f>
        <v>#VALUE!</v>
      </c>
      <c r="AI4" t="e">
        <f>AND('MATRIX - Case Level'!B34,"AAAAAH7evSI=")</f>
        <v>#VALUE!</v>
      </c>
      <c r="AJ4" t="e">
        <f>AND('MATRIX - Case Level'!C34,"AAAAAH7evSM=")</f>
        <v>#VALUE!</v>
      </c>
      <c r="AK4" t="e">
        <f>AND('MATRIX - Case Level'!#REF!,"AAAAAH7evSQ=")</f>
        <v>#REF!</v>
      </c>
      <c r="AL4" t="e">
        <f>AND('MATRIX - Case Level'!D34,"AAAAAH7evSU=")</f>
        <v>#VALUE!</v>
      </c>
      <c r="AM4" t="e">
        <f>AND('MATRIX - Case Level'!E34,"AAAAAH7evSY=")</f>
        <v>#VALUE!</v>
      </c>
      <c r="AN4" t="e">
        <f>AND('MATRIX - Case Level'!F34,"AAAAAH7evSc=")</f>
        <v>#VALUE!</v>
      </c>
      <c r="AO4" t="e">
        <f>AND('MATRIX - Case Level'!G34,"AAAAAH7evSg=")</f>
        <v>#VALUE!</v>
      </c>
      <c r="AP4" t="e">
        <f>AND('MATRIX - Case Level'!H34,"AAAAAH7evSk=")</f>
        <v>#VALUE!</v>
      </c>
      <c r="AQ4" t="e">
        <f>AND('MATRIX - Case Level'!I34,"AAAAAH7evSo=")</f>
        <v>#VALUE!</v>
      </c>
      <c r="AR4" t="e">
        <f>AND('MATRIX - Case Level'!J34,"AAAAAH7evSs=")</f>
        <v>#VALUE!</v>
      </c>
      <c r="AS4" t="e">
        <f>AND('MATRIX - Case Level'!K34,"AAAAAH7evSw=")</f>
        <v>#VALUE!</v>
      </c>
      <c r="AT4" t="e">
        <f>AND('MATRIX - Case Level'!L34,"AAAAAH7evS0=")</f>
        <v>#VALUE!</v>
      </c>
      <c r="AU4" t="e">
        <f>AND('MATRIX - Case Level'!#REF!,"AAAAAH7evS4=")</f>
        <v>#REF!</v>
      </c>
      <c r="AV4" t="e">
        <f>AND('MATRIX - Case Level'!O34,"AAAAAH7evS8=")</f>
        <v>#VALUE!</v>
      </c>
      <c r="AW4" t="e">
        <f>AND('MATRIX - Case Level'!P34,"AAAAAH7evTA=")</f>
        <v>#VALUE!</v>
      </c>
      <c r="AX4" t="e">
        <f>AND('MATRIX - Case Level'!Q34,"AAAAAH7evTE=")</f>
        <v>#VALUE!</v>
      </c>
      <c r="AY4" t="e">
        <f>AND('MATRIX - Case Level'!#REF!,"AAAAAH7evTI=")</f>
        <v>#REF!</v>
      </c>
      <c r="AZ4" t="e">
        <f>AND('MATRIX - Case Level'!#REF!,"AAAAAH7evTM=")</f>
        <v>#REF!</v>
      </c>
      <c r="BA4">
        <f>IF('MATRIX - Case Level'!35:35,"AAAAAH7evTQ=",0)</f>
        <v>0</v>
      </c>
      <c r="BB4" t="e">
        <f>AND('MATRIX - Case Level'!A35,"AAAAAH7evTU=")</f>
        <v>#VALUE!</v>
      </c>
      <c r="BC4" t="e">
        <f>AND('MATRIX - Case Level'!B35,"AAAAAH7evTY=")</f>
        <v>#VALUE!</v>
      </c>
      <c r="BD4" t="e">
        <f>AND('MATRIX - Case Level'!C35,"AAAAAH7evTc=")</f>
        <v>#VALUE!</v>
      </c>
      <c r="BE4" t="e">
        <f>AND('MATRIX - Case Level'!#REF!,"AAAAAH7evTg=")</f>
        <v>#REF!</v>
      </c>
      <c r="BF4" t="e">
        <f>AND('MATRIX - Case Level'!D35,"AAAAAH7evTk=")</f>
        <v>#VALUE!</v>
      </c>
      <c r="BG4" t="e">
        <f>AND('MATRIX - Case Level'!E35,"AAAAAH7evTo=")</f>
        <v>#VALUE!</v>
      </c>
      <c r="BH4" t="e">
        <f>AND('MATRIX - Case Level'!F35,"AAAAAH7evTs=")</f>
        <v>#VALUE!</v>
      </c>
      <c r="BI4" t="e">
        <f>AND('MATRIX - Case Level'!G35,"AAAAAH7evTw=")</f>
        <v>#VALUE!</v>
      </c>
      <c r="BJ4" t="e">
        <f>AND('MATRIX - Case Level'!H35,"AAAAAH7evT0=")</f>
        <v>#VALUE!</v>
      </c>
      <c r="BK4" t="e">
        <f>AND('MATRIX - Case Level'!I35,"AAAAAH7evT4=")</f>
        <v>#VALUE!</v>
      </c>
      <c r="BL4" t="e">
        <f>AND('MATRIX - Case Level'!J35,"AAAAAH7evT8=")</f>
        <v>#VALUE!</v>
      </c>
      <c r="BM4" t="e">
        <f>AND('MATRIX - Case Level'!K35,"AAAAAH7evUA=")</f>
        <v>#VALUE!</v>
      </c>
      <c r="BN4" t="e">
        <f>AND('MATRIX - Case Level'!L35,"AAAAAH7evUE=")</f>
        <v>#VALUE!</v>
      </c>
      <c r="BO4" t="e">
        <f>AND('MATRIX - Case Level'!#REF!,"AAAAAH7evUI=")</f>
        <v>#REF!</v>
      </c>
      <c r="BP4" t="e">
        <f>AND('MATRIX - Case Level'!O35,"AAAAAH7evUM=")</f>
        <v>#VALUE!</v>
      </c>
      <c r="BQ4" t="e">
        <f>AND('MATRIX - Case Level'!P35,"AAAAAH7evUQ=")</f>
        <v>#VALUE!</v>
      </c>
      <c r="BR4" t="e">
        <f>AND('MATRIX - Case Level'!Q35,"AAAAAH7evUU=")</f>
        <v>#VALUE!</v>
      </c>
      <c r="BS4" t="e">
        <f>AND('MATRIX - Case Level'!#REF!,"AAAAAH7evUY=")</f>
        <v>#REF!</v>
      </c>
      <c r="BT4" t="e">
        <f>AND('MATRIX - Case Level'!#REF!,"AAAAAH7evUc=")</f>
        <v>#REF!</v>
      </c>
      <c r="BU4" t="e">
        <f>IF(#REF!,"AAAAAH7evUg=",0)</f>
        <v>#REF!</v>
      </c>
      <c r="BV4" t="e">
        <f>AND(#REF!,"AAAAAH7evUk=")</f>
        <v>#REF!</v>
      </c>
      <c r="BW4" t="e">
        <f>AND(#REF!,"AAAAAH7evUo=")</f>
        <v>#REF!</v>
      </c>
      <c r="BX4" t="e">
        <f>AND(#REF!,"AAAAAH7evUs=")</f>
        <v>#REF!</v>
      </c>
      <c r="BY4" t="e">
        <f>AND(#REF!,"AAAAAH7evUw=")</f>
        <v>#REF!</v>
      </c>
      <c r="BZ4" t="e">
        <f>AND(#REF!,"AAAAAH7evU0=")</f>
        <v>#REF!</v>
      </c>
      <c r="CA4" t="e">
        <f>AND(#REF!,"AAAAAH7evU4=")</f>
        <v>#REF!</v>
      </c>
      <c r="CB4" t="e">
        <f>AND(#REF!,"AAAAAH7evU8=")</f>
        <v>#REF!</v>
      </c>
      <c r="CC4" t="e">
        <f>AND(#REF!,"AAAAAH7evVA=")</f>
        <v>#REF!</v>
      </c>
      <c r="CD4" t="e">
        <f>AND(#REF!,"AAAAAH7evVE=")</f>
        <v>#REF!</v>
      </c>
      <c r="CE4" t="e">
        <f>AND(#REF!,"AAAAAH7evVI=")</f>
        <v>#REF!</v>
      </c>
      <c r="CF4" t="e">
        <f>AND(#REF!,"AAAAAH7evVM=")</f>
        <v>#REF!</v>
      </c>
      <c r="CG4" t="e">
        <f>AND(#REF!,"AAAAAH7evVQ=")</f>
        <v>#REF!</v>
      </c>
      <c r="CH4" t="e">
        <f>AND(#REF!,"AAAAAH7evVU=")</f>
        <v>#REF!</v>
      </c>
      <c r="CI4" t="e">
        <f>AND(#REF!,"AAAAAH7evVY=")</f>
        <v>#REF!</v>
      </c>
      <c r="CJ4" t="e">
        <f>AND(#REF!,"AAAAAH7evVc=")</f>
        <v>#REF!</v>
      </c>
      <c r="CK4" t="e">
        <f>AND(#REF!,"AAAAAH7evVg=")</f>
        <v>#REF!</v>
      </c>
      <c r="CL4" t="e">
        <f>AND(#REF!,"AAAAAH7evVk=")</f>
        <v>#REF!</v>
      </c>
      <c r="CM4" t="e">
        <f>AND(#REF!,"AAAAAH7evVo=")</f>
        <v>#REF!</v>
      </c>
      <c r="CN4" t="e">
        <f>AND(#REF!,"AAAAAH7evVs=")</f>
        <v>#REF!</v>
      </c>
      <c r="CO4">
        <f>IF('MATRIX - Case Level'!37:37,"AAAAAH7evVw=",0)</f>
        <v>0</v>
      </c>
      <c r="CP4" t="e">
        <f>AND('MATRIX - Case Level'!A37,"AAAAAH7evV0=")</f>
        <v>#VALUE!</v>
      </c>
      <c r="CQ4" t="e">
        <f>AND('MATRIX - Case Level'!B37,"AAAAAH7evV4=")</f>
        <v>#VALUE!</v>
      </c>
      <c r="CR4" t="e">
        <f>AND('MATRIX - Case Level'!C37,"AAAAAH7evV8=")</f>
        <v>#VALUE!</v>
      </c>
      <c r="CS4" t="e">
        <f>AND('MATRIX - Case Level'!#REF!,"AAAAAH7evWA=")</f>
        <v>#REF!</v>
      </c>
      <c r="CT4" t="e">
        <f>AND('MATRIX - Case Level'!D37,"AAAAAH7evWE=")</f>
        <v>#VALUE!</v>
      </c>
      <c r="CU4" t="e">
        <f>AND('MATRIX - Case Level'!E37,"AAAAAH7evWI=")</f>
        <v>#VALUE!</v>
      </c>
      <c r="CV4" t="e">
        <f>AND('MATRIX - Case Level'!F37,"AAAAAH7evWM=")</f>
        <v>#VALUE!</v>
      </c>
      <c r="CW4" t="e">
        <f>AND('MATRIX - Case Level'!G37,"AAAAAH7evWQ=")</f>
        <v>#VALUE!</v>
      </c>
      <c r="CX4" t="e">
        <f>AND('MATRIX - Case Level'!H37,"AAAAAH7evWU=")</f>
        <v>#VALUE!</v>
      </c>
      <c r="CY4" t="e">
        <f>AND('MATRIX - Case Level'!I37,"AAAAAH7evWY=")</f>
        <v>#VALUE!</v>
      </c>
      <c r="CZ4" t="e">
        <f>AND('MATRIX - Case Level'!J37,"AAAAAH7evWc=")</f>
        <v>#VALUE!</v>
      </c>
      <c r="DA4" t="e">
        <f>AND('MATRIX - Case Level'!K37,"AAAAAH7evWg=")</f>
        <v>#VALUE!</v>
      </c>
      <c r="DB4" t="e">
        <f>AND('MATRIX - Case Level'!L37,"AAAAAH7evWk=")</f>
        <v>#VALUE!</v>
      </c>
      <c r="DC4" t="e">
        <f>AND('MATRIX - Case Level'!#REF!,"AAAAAH7evWo=")</f>
        <v>#REF!</v>
      </c>
      <c r="DD4" t="e">
        <f>AND('MATRIX - Case Level'!O37,"AAAAAH7evWs=")</f>
        <v>#VALUE!</v>
      </c>
      <c r="DE4" t="e">
        <f>AND('MATRIX - Case Level'!P37,"AAAAAH7evWw=")</f>
        <v>#VALUE!</v>
      </c>
      <c r="DF4" t="e">
        <f>AND('MATRIX - Case Level'!Q37,"AAAAAH7evW0=")</f>
        <v>#VALUE!</v>
      </c>
      <c r="DG4" t="e">
        <f>AND('MATRIX - Case Level'!#REF!,"AAAAAH7evW4=")</f>
        <v>#REF!</v>
      </c>
      <c r="DH4" t="e">
        <f>AND('MATRIX - Case Level'!#REF!,"AAAAAH7evW8=")</f>
        <v>#REF!</v>
      </c>
      <c r="DI4">
        <f>IF('MATRIX - Case Level'!38:38,"AAAAAH7evXA=",0)</f>
        <v>0</v>
      </c>
      <c r="DJ4" t="e">
        <f>AND('MATRIX - Case Level'!A38,"AAAAAH7evXE=")</f>
        <v>#VALUE!</v>
      </c>
      <c r="DK4" t="e">
        <f>AND('MATRIX - Case Level'!B38,"AAAAAH7evXI=")</f>
        <v>#VALUE!</v>
      </c>
      <c r="DL4" t="e">
        <f>AND('MATRIX - Case Level'!C38,"AAAAAH7evXM=")</f>
        <v>#VALUE!</v>
      </c>
      <c r="DM4" t="e">
        <f>AND('MATRIX - Case Level'!#REF!,"AAAAAH7evXQ=")</f>
        <v>#REF!</v>
      </c>
      <c r="DN4" t="e">
        <f>AND('MATRIX - Case Level'!D38,"AAAAAH7evXU=")</f>
        <v>#VALUE!</v>
      </c>
      <c r="DO4" t="e">
        <f>AND('MATRIX - Case Level'!E38,"AAAAAH7evXY=")</f>
        <v>#VALUE!</v>
      </c>
      <c r="DP4" t="e">
        <f>AND('MATRIX - Case Level'!F38,"AAAAAH7evXc=")</f>
        <v>#VALUE!</v>
      </c>
      <c r="DQ4" t="e">
        <f>AND('MATRIX - Case Level'!G38,"AAAAAH7evXg=")</f>
        <v>#VALUE!</v>
      </c>
      <c r="DR4" t="e">
        <f>AND('MATRIX - Case Level'!H38,"AAAAAH7evXk=")</f>
        <v>#VALUE!</v>
      </c>
      <c r="DS4" t="e">
        <f>AND('MATRIX - Case Level'!I38,"AAAAAH7evXo=")</f>
        <v>#VALUE!</v>
      </c>
      <c r="DT4" t="e">
        <f>AND('MATRIX - Case Level'!J38,"AAAAAH7evXs=")</f>
        <v>#VALUE!</v>
      </c>
      <c r="DU4" t="e">
        <f>AND('MATRIX - Case Level'!K38,"AAAAAH7evXw=")</f>
        <v>#VALUE!</v>
      </c>
      <c r="DV4" t="e">
        <f>AND('MATRIX - Case Level'!L38,"AAAAAH7evX0=")</f>
        <v>#VALUE!</v>
      </c>
      <c r="DW4" t="e">
        <f>AND('MATRIX - Case Level'!#REF!,"AAAAAH7evX4=")</f>
        <v>#REF!</v>
      </c>
      <c r="DX4" t="e">
        <f>AND('MATRIX - Case Level'!O38,"AAAAAH7evX8=")</f>
        <v>#VALUE!</v>
      </c>
      <c r="DY4" t="e">
        <f>AND('MATRIX - Case Level'!P38,"AAAAAH7evYA=")</f>
        <v>#VALUE!</v>
      </c>
      <c r="DZ4" t="e">
        <f>AND('MATRIX - Case Level'!Q38,"AAAAAH7evYE=")</f>
        <v>#VALUE!</v>
      </c>
      <c r="EA4" t="e">
        <f>AND('MATRIX - Case Level'!#REF!,"AAAAAH7evYI=")</f>
        <v>#REF!</v>
      </c>
      <c r="EB4" t="e">
        <f>AND('MATRIX - Case Level'!#REF!,"AAAAAH7evYM=")</f>
        <v>#REF!</v>
      </c>
      <c r="EC4">
        <f>IF('MATRIX - Case Level'!39:39,"AAAAAH7evYQ=",0)</f>
        <v>0</v>
      </c>
      <c r="ED4" t="e">
        <f>AND('MATRIX - Case Level'!A39,"AAAAAH7evYU=")</f>
        <v>#VALUE!</v>
      </c>
      <c r="EE4" t="e">
        <f>AND('MATRIX - Case Level'!B39,"AAAAAH7evYY=")</f>
        <v>#VALUE!</v>
      </c>
      <c r="EF4" t="e">
        <f>AND('MATRIX - Case Level'!C39,"AAAAAH7evYc=")</f>
        <v>#VALUE!</v>
      </c>
      <c r="EG4" t="e">
        <f>AND('MATRIX - Case Level'!#REF!,"AAAAAH7evYg=")</f>
        <v>#REF!</v>
      </c>
      <c r="EH4" t="e">
        <f>AND('MATRIX - Case Level'!D39,"AAAAAH7evYk=")</f>
        <v>#VALUE!</v>
      </c>
      <c r="EI4" t="e">
        <f>AND('MATRIX - Case Level'!E39,"AAAAAH7evYo=")</f>
        <v>#VALUE!</v>
      </c>
      <c r="EJ4" t="e">
        <f>AND('MATRIX - Case Level'!F39,"AAAAAH7evYs=")</f>
        <v>#VALUE!</v>
      </c>
      <c r="EK4" t="e">
        <f>AND('MATRIX - Case Level'!G39,"AAAAAH7evYw=")</f>
        <v>#VALUE!</v>
      </c>
      <c r="EL4" t="e">
        <f>AND('MATRIX - Case Level'!H39,"AAAAAH7evY0=")</f>
        <v>#VALUE!</v>
      </c>
      <c r="EM4" t="e">
        <f>AND('MATRIX - Case Level'!I39,"AAAAAH7evY4=")</f>
        <v>#VALUE!</v>
      </c>
      <c r="EN4" t="e">
        <f>AND('MATRIX - Case Level'!J39,"AAAAAH7evY8=")</f>
        <v>#VALUE!</v>
      </c>
      <c r="EO4" t="e">
        <f>AND('MATRIX - Case Level'!K39,"AAAAAH7evZA=")</f>
        <v>#VALUE!</v>
      </c>
      <c r="EP4" t="e">
        <f>AND('MATRIX - Case Level'!L39,"AAAAAH7evZE=")</f>
        <v>#VALUE!</v>
      </c>
      <c r="EQ4" t="e">
        <f>AND('MATRIX - Case Level'!#REF!,"AAAAAH7evZI=")</f>
        <v>#REF!</v>
      </c>
      <c r="ER4" t="e">
        <f>AND('MATRIX - Case Level'!O39,"AAAAAH7evZM=")</f>
        <v>#VALUE!</v>
      </c>
      <c r="ES4" t="e">
        <f>AND('MATRIX - Case Level'!P39,"AAAAAH7evZQ=")</f>
        <v>#VALUE!</v>
      </c>
      <c r="ET4" t="e">
        <f>AND('MATRIX - Case Level'!Q39,"AAAAAH7evZU=")</f>
        <v>#VALUE!</v>
      </c>
      <c r="EU4" t="e">
        <f>AND('MATRIX - Case Level'!#REF!,"AAAAAH7evZY=")</f>
        <v>#REF!</v>
      </c>
      <c r="EV4" t="e">
        <f>AND('MATRIX - Case Level'!#REF!,"AAAAAH7evZc=")</f>
        <v>#REF!</v>
      </c>
      <c r="EW4">
        <f>IF('MATRIX - Case Level'!40:40,"AAAAAH7evZg=",0)</f>
        <v>0</v>
      </c>
      <c r="EX4" t="e">
        <f>AND('MATRIX - Case Level'!A40,"AAAAAH7evZk=")</f>
        <v>#VALUE!</v>
      </c>
      <c r="EY4" t="e">
        <f>AND('MATRIX - Case Level'!B40,"AAAAAH7evZo=")</f>
        <v>#VALUE!</v>
      </c>
      <c r="EZ4" t="e">
        <f>AND('MATRIX - Case Level'!C40,"AAAAAH7evZs=")</f>
        <v>#VALUE!</v>
      </c>
      <c r="FA4" t="e">
        <f>AND('MATRIX - Case Level'!#REF!,"AAAAAH7evZw=")</f>
        <v>#REF!</v>
      </c>
      <c r="FB4" t="e">
        <f>AND('MATRIX - Case Level'!D40,"AAAAAH7evZ0=")</f>
        <v>#VALUE!</v>
      </c>
      <c r="FC4" t="e">
        <f>AND('MATRIX - Case Level'!E40,"AAAAAH7evZ4=")</f>
        <v>#VALUE!</v>
      </c>
      <c r="FD4" t="e">
        <f>AND('MATRIX - Case Level'!F40,"AAAAAH7evZ8=")</f>
        <v>#VALUE!</v>
      </c>
      <c r="FE4" t="e">
        <f>AND('MATRIX - Case Level'!G40,"AAAAAH7evaA=")</f>
        <v>#VALUE!</v>
      </c>
      <c r="FF4" t="e">
        <f>AND('MATRIX - Case Level'!H40,"AAAAAH7evaE=")</f>
        <v>#VALUE!</v>
      </c>
      <c r="FG4" t="e">
        <f>AND('MATRIX - Case Level'!I40,"AAAAAH7evaI=")</f>
        <v>#VALUE!</v>
      </c>
      <c r="FH4" t="e">
        <f>AND('MATRIX - Case Level'!J40,"AAAAAH7evaM=")</f>
        <v>#VALUE!</v>
      </c>
      <c r="FI4" t="e">
        <f>AND('MATRIX - Case Level'!K40,"AAAAAH7evaQ=")</f>
        <v>#VALUE!</v>
      </c>
      <c r="FJ4" t="e">
        <f>AND('MATRIX - Case Level'!L40,"AAAAAH7evaU=")</f>
        <v>#VALUE!</v>
      </c>
      <c r="FK4" t="e">
        <f>AND('MATRIX - Case Level'!#REF!,"AAAAAH7evaY=")</f>
        <v>#REF!</v>
      </c>
      <c r="FL4" t="e">
        <f>AND('MATRIX - Case Level'!O40,"AAAAAH7evac=")</f>
        <v>#VALUE!</v>
      </c>
      <c r="FM4" t="e">
        <f>AND('MATRIX - Case Level'!P40,"AAAAAH7evag=")</f>
        <v>#VALUE!</v>
      </c>
      <c r="FN4" t="e">
        <f>AND('MATRIX - Case Level'!Q40,"AAAAAH7evak=")</f>
        <v>#VALUE!</v>
      </c>
      <c r="FO4" t="e">
        <f>AND('MATRIX - Case Level'!#REF!,"AAAAAH7evao=")</f>
        <v>#REF!</v>
      </c>
      <c r="FP4" t="e">
        <f>AND('MATRIX - Case Level'!#REF!,"AAAAAH7evas=")</f>
        <v>#REF!</v>
      </c>
      <c r="FQ4">
        <f>IF('MATRIX - Case Level'!41:41,"AAAAAH7evaw=",0)</f>
        <v>0</v>
      </c>
      <c r="FR4" t="e">
        <f>AND('MATRIX - Case Level'!A41,"AAAAAH7eva0=")</f>
        <v>#VALUE!</v>
      </c>
      <c r="FS4" t="e">
        <f>AND('MATRIX - Case Level'!B41,"AAAAAH7eva4=")</f>
        <v>#VALUE!</v>
      </c>
      <c r="FT4" t="e">
        <f>AND('MATRIX - Case Level'!C41,"AAAAAH7eva8=")</f>
        <v>#VALUE!</v>
      </c>
      <c r="FU4" t="e">
        <f>AND('MATRIX - Case Level'!#REF!,"AAAAAH7evbA=")</f>
        <v>#REF!</v>
      </c>
      <c r="FV4" t="e">
        <f>AND('MATRIX - Case Level'!D41,"AAAAAH7evbE=")</f>
        <v>#VALUE!</v>
      </c>
      <c r="FW4" t="e">
        <f>AND('MATRIX - Case Level'!E41,"AAAAAH7evbI=")</f>
        <v>#VALUE!</v>
      </c>
      <c r="FX4" t="e">
        <f>AND('MATRIX - Case Level'!F41,"AAAAAH7evbM=")</f>
        <v>#VALUE!</v>
      </c>
      <c r="FY4" t="e">
        <f>AND('MATRIX - Case Level'!G41,"AAAAAH7evbQ=")</f>
        <v>#VALUE!</v>
      </c>
      <c r="FZ4" t="e">
        <f>AND('MATRIX - Case Level'!H41,"AAAAAH7evbU=")</f>
        <v>#VALUE!</v>
      </c>
      <c r="GA4" t="e">
        <f>AND('MATRIX - Case Level'!I41,"AAAAAH7evbY=")</f>
        <v>#VALUE!</v>
      </c>
      <c r="GB4" t="e">
        <f>AND('MATRIX - Case Level'!J41,"AAAAAH7evbc=")</f>
        <v>#VALUE!</v>
      </c>
      <c r="GC4" t="e">
        <f>AND('MATRIX - Case Level'!K41,"AAAAAH7evbg=")</f>
        <v>#VALUE!</v>
      </c>
      <c r="GD4" t="e">
        <f>AND('MATRIX - Case Level'!L41,"AAAAAH7evbk=")</f>
        <v>#VALUE!</v>
      </c>
      <c r="GE4" t="e">
        <f>AND('MATRIX - Case Level'!#REF!,"AAAAAH7evbo=")</f>
        <v>#REF!</v>
      </c>
      <c r="GF4" t="e">
        <f>AND('MATRIX - Case Level'!O41,"AAAAAH7evbs=")</f>
        <v>#VALUE!</v>
      </c>
      <c r="GG4" t="e">
        <f>AND('MATRIX - Case Level'!P41,"AAAAAH7evbw=")</f>
        <v>#VALUE!</v>
      </c>
      <c r="GH4" t="e">
        <f>AND('MATRIX - Case Level'!Q41,"AAAAAH7evb0=")</f>
        <v>#VALUE!</v>
      </c>
      <c r="GI4" t="e">
        <f>AND('MATRIX - Case Level'!#REF!,"AAAAAH7evb4=")</f>
        <v>#REF!</v>
      </c>
      <c r="GJ4" t="e">
        <f>AND('MATRIX - Case Level'!#REF!,"AAAAAH7evb8=")</f>
        <v>#REF!</v>
      </c>
      <c r="GK4">
        <f>IF('MATRIX - Case Level'!42:42,"AAAAAH7evcA=",0)</f>
        <v>0</v>
      </c>
      <c r="GL4" t="e">
        <f>AND('MATRIX - Case Level'!A42,"AAAAAH7evcE=")</f>
        <v>#VALUE!</v>
      </c>
      <c r="GM4" t="e">
        <f>AND('MATRIX - Case Level'!B42,"AAAAAH7evcI=")</f>
        <v>#VALUE!</v>
      </c>
      <c r="GN4" t="e">
        <f>AND('MATRIX - Case Level'!C42,"AAAAAH7evcM=")</f>
        <v>#VALUE!</v>
      </c>
      <c r="GO4" t="e">
        <f>AND('MATRIX - Case Level'!#REF!,"AAAAAH7evcQ=")</f>
        <v>#REF!</v>
      </c>
      <c r="GP4" t="e">
        <f>AND('MATRIX - Case Level'!D42,"AAAAAH7evcU=")</f>
        <v>#VALUE!</v>
      </c>
      <c r="GQ4" t="e">
        <f>AND('MATRIX - Case Level'!E42,"AAAAAH7evcY=")</f>
        <v>#VALUE!</v>
      </c>
      <c r="GR4" t="e">
        <f>AND('MATRIX - Case Level'!F42,"AAAAAH7evcc=")</f>
        <v>#VALUE!</v>
      </c>
      <c r="GS4" t="e">
        <f>AND('MATRIX - Case Level'!G42,"AAAAAH7evcg=")</f>
        <v>#VALUE!</v>
      </c>
      <c r="GT4" t="e">
        <f>AND('MATRIX - Case Level'!H42,"AAAAAH7evck=")</f>
        <v>#VALUE!</v>
      </c>
      <c r="GU4" t="e">
        <f>AND('MATRIX - Case Level'!I42,"AAAAAH7evco=")</f>
        <v>#VALUE!</v>
      </c>
      <c r="GV4" t="e">
        <f>AND('MATRIX - Case Level'!J42,"AAAAAH7evcs=")</f>
        <v>#VALUE!</v>
      </c>
      <c r="GW4" t="e">
        <f>AND('MATRIX - Case Level'!K42,"AAAAAH7evcw=")</f>
        <v>#VALUE!</v>
      </c>
      <c r="GX4" t="e">
        <f>AND('MATRIX - Case Level'!L42,"AAAAAH7evc0=")</f>
        <v>#VALUE!</v>
      </c>
      <c r="GY4" t="e">
        <f>AND('MATRIX - Case Level'!#REF!,"AAAAAH7evc4=")</f>
        <v>#REF!</v>
      </c>
      <c r="GZ4" t="e">
        <f>AND('MATRIX - Case Level'!O42,"AAAAAH7evc8=")</f>
        <v>#VALUE!</v>
      </c>
      <c r="HA4" t="e">
        <f>AND('MATRIX - Case Level'!P42,"AAAAAH7evdA=")</f>
        <v>#VALUE!</v>
      </c>
      <c r="HB4" t="e">
        <f>AND('MATRIX - Case Level'!Q42,"AAAAAH7evdE=")</f>
        <v>#VALUE!</v>
      </c>
      <c r="HC4" t="e">
        <f>AND('MATRIX - Case Level'!#REF!,"AAAAAH7evdI=")</f>
        <v>#REF!</v>
      </c>
      <c r="HD4" t="e">
        <f>AND('MATRIX - Case Level'!#REF!,"AAAAAH7evdM=")</f>
        <v>#REF!</v>
      </c>
      <c r="HE4">
        <f>IF('MATRIX - Case Level'!43:43,"AAAAAH7evdQ=",0)</f>
        <v>0</v>
      </c>
      <c r="HF4" t="e">
        <f>AND('MATRIX - Case Level'!A43,"AAAAAH7evdU=")</f>
        <v>#VALUE!</v>
      </c>
      <c r="HG4" t="e">
        <f>AND('MATRIX - Case Level'!B43,"AAAAAH7evdY=")</f>
        <v>#VALUE!</v>
      </c>
      <c r="HH4" t="e">
        <f>AND('MATRIX - Case Level'!C43,"AAAAAH7evdc=")</f>
        <v>#VALUE!</v>
      </c>
      <c r="HI4" t="e">
        <f>AND('MATRIX - Case Level'!#REF!,"AAAAAH7evdg=")</f>
        <v>#REF!</v>
      </c>
      <c r="HJ4" t="e">
        <f>AND('MATRIX - Case Level'!D43,"AAAAAH7evdk=")</f>
        <v>#VALUE!</v>
      </c>
      <c r="HK4" t="e">
        <f>AND('MATRIX - Case Level'!E43,"AAAAAH7evdo=")</f>
        <v>#VALUE!</v>
      </c>
      <c r="HL4" t="e">
        <f>AND('MATRIX - Case Level'!F43,"AAAAAH7evds=")</f>
        <v>#VALUE!</v>
      </c>
      <c r="HM4" t="e">
        <f>AND('MATRIX - Case Level'!G43,"AAAAAH7evdw=")</f>
        <v>#VALUE!</v>
      </c>
      <c r="HN4" t="e">
        <f>AND('MATRIX - Case Level'!H43,"AAAAAH7evd0=")</f>
        <v>#VALUE!</v>
      </c>
      <c r="HO4" t="e">
        <f>AND('MATRIX - Case Level'!I43,"AAAAAH7evd4=")</f>
        <v>#VALUE!</v>
      </c>
      <c r="HP4" t="e">
        <f>AND('MATRIX - Case Level'!J43,"AAAAAH7evd8=")</f>
        <v>#VALUE!</v>
      </c>
      <c r="HQ4" t="e">
        <f>AND('MATRIX - Case Level'!K43,"AAAAAH7eveA=")</f>
        <v>#VALUE!</v>
      </c>
      <c r="HR4" t="e">
        <f>AND('MATRIX - Case Level'!L43,"AAAAAH7eveE=")</f>
        <v>#VALUE!</v>
      </c>
      <c r="HS4" t="e">
        <f>AND('MATRIX - Case Level'!#REF!,"AAAAAH7eveI=")</f>
        <v>#REF!</v>
      </c>
      <c r="HT4" t="e">
        <f>AND('MATRIX - Case Level'!O43,"AAAAAH7eveM=")</f>
        <v>#VALUE!</v>
      </c>
      <c r="HU4" t="e">
        <f>AND('MATRIX - Case Level'!P43,"AAAAAH7eveQ=")</f>
        <v>#VALUE!</v>
      </c>
      <c r="HV4" t="e">
        <f>AND('MATRIX - Case Level'!Q43,"AAAAAH7eveU=")</f>
        <v>#VALUE!</v>
      </c>
      <c r="HW4" t="e">
        <f>AND('MATRIX - Case Level'!#REF!,"AAAAAH7eveY=")</f>
        <v>#REF!</v>
      </c>
      <c r="HX4" t="e">
        <f>AND('MATRIX - Case Level'!#REF!,"AAAAAH7evec=")</f>
        <v>#REF!</v>
      </c>
      <c r="HY4">
        <f>IF('MATRIX - Case Level'!44:44,"AAAAAH7eveg=",0)</f>
        <v>0</v>
      </c>
      <c r="HZ4" t="e">
        <f>AND('MATRIX - Case Level'!A44,"AAAAAH7evek=")</f>
        <v>#VALUE!</v>
      </c>
      <c r="IA4" t="e">
        <f>AND('MATRIX - Case Level'!B44,"AAAAAH7eveo=")</f>
        <v>#VALUE!</v>
      </c>
      <c r="IB4" t="e">
        <f>AND('MATRIX - Case Level'!C44,"AAAAAH7eves=")</f>
        <v>#VALUE!</v>
      </c>
      <c r="IC4" t="e">
        <f>AND('MATRIX - Case Level'!#REF!,"AAAAAH7evew=")</f>
        <v>#REF!</v>
      </c>
      <c r="ID4" t="e">
        <f>AND('MATRIX - Case Level'!D44,"AAAAAH7eve0=")</f>
        <v>#VALUE!</v>
      </c>
      <c r="IE4" t="e">
        <f>AND('MATRIX - Case Level'!E44,"AAAAAH7eve4=")</f>
        <v>#VALUE!</v>
      </c>
      <c r="IF4" t="e">
        <f>AND('MATRIX - Case Level'!F44,"AAAAAH7eve8=")</f>
        <v>#VALUE!</v>
      </c>
      <c r="IG4" t="e">
        <f>AND('MATRIX - Case Level'!G44,"AAAAAH7evfA=")</f>
        <v>#VALUE!</v>
      </c>
      <c r="IH4" t="e">
        <f>AND('MATRIX - Case Level'!H44,"AAAAAH7evfE=")</f>
        <v>#VALUE!</v>
      </c>
      <c r="II4" t="e">
        <f>AND('MATRIX - Case Level'!I44,"AAAAAH7evfI=")</f>
        <v>#VALUE!</v>
      </c>
      <c r="IJ4" t="e">
        <f>AND('MATRIX - Case Level'!J44,"AAAAAH7evfM=")</f>
        <v>#VALUE!</v>
      </c>
      <c r="IK4" t="e">
        <f>AND('MATRIX - Case Level'!K44,"AAAAAH7evfQ=")</f>
        <v>#VALUE!</v>
      </c>
      <c r="IL4" t="e">
        <f>AND('MATRIX - Case Level'!L44,"AAAAAH7evfU=")</f>
        <v>#VALUE!</v>
      </c>
      <c r="IM4" t="e">
        <f>AND('MATRIX - Case Level'!#REF!,"AAAAAH7evfY=")</f>
        <v>#REF!</v>
      </c>
      <c r="IN4" t="e">
        <f>AND('MATRIX - Case Level'!O44,"AAAAAH7evfc=")</f>
        <v>#VALUE!</v>
      </c>
      <c r="IO4" t="e">
        <f>AND('MATRIX - Case Level'!P44,"AAAAAH7evfg=")</f>
        <v>#VALUE!</v>
      </c>
      <c r="IP4" t="e">
        <f>AND('MATRIX - Case Level'!Q44,"AAAAAH7evfk=")</f>
        <v>#VALUE!</v>
      </c>
      <c r="IQ4" t="e">
        <f>AND('MATRIX - Case Level'!#REF!,"AAAAAH7evfo=")</f>
        <v>#REF!</v>
      </c>
      <c r="IR4" t="e">
        <f>AND('MATRIX - Case Level'!#REF!,"AAAAAH7evfs=")</f>
        <v>#REF!</v>
      </c>
      <c r="IS4">
        <f>IF('MATRIX - Case Level'!45:45,"AAAAAH7evfw=",0)</f>
        <v>0</v>
      </c>
      <c r="IT4" t="e">
        <f>AND('MATRIX - Case Level'!A45,"AAAAAH7evf0=")</f>
        <v>#VALUE!</v>
      </c>
      <c r="IU4" t="e">
        <f>AND('MATRIX - Case Level'!B45,"AAAAAH7evf4=")</f>
        <v>#VALUE!</v>
      </c>
      <c r="IV4" t="e">
        <f>AND('MATRIX - Case Level'!C45,"AAAAAH7evf8=")</f>
        <v>#VALUE!</v>
      </c>
    </row>
    <row r="5" spans="1:256" ht="12.75">
      <c r="A5" t="e">
        <f>AND('MATRIX - Case Level'!#REF!,"AAAAAHvJWgA=")</f>
        <v>#REF!</v>
      </c>
      <c r="B5" t="e">
        <f>AND('MATRIX - Case Level'!D45,"AAAAAHvJWgE=")</f>
        <v>#VALUE!</v>
      </c>
      <c r="C5" t="e">
        <f>AND('MATRIX - Case Level'!E45,"AAAAAHvJWgI=")</f>
        <v>#VALUE!</v>
      </c>
      <c r="D5" t="e">
        <f>AND('MATRIX - Case Level'!F45,"AAAAAHvJWgM=")</f>
        <v>#VALUE!</v>
      </c>
      <c r="E5" t="e">
        <f>AND('MATRIX - Case Level'!G45,"AAAAAHvJWgQ=")</f>
        <v>#VALUE!</v>
      </c>
      <c r="F5" t="e">
        <f>AND('MATRIX - Case Level'!H45,"AAAAAHvJWgU=")</f>
        <v>#VALUE!</v>
      </c>
      <c r="G5" t="e">
        <f>AND('MATRIX - Case Level'!I45,"AAAAAHvJWgY=")</f>
        <v>#VALUE!</v>
      </c>
      <c r="H5" t="e">
        <f>AND('MATRIX - Case Level'!J45,"AAAAAHvJWgc=")</f>
        <v>#VALUE!</v>
      </c>
      <c r="I5" t="e">
        <f>AND('MATRIX - Case Level'!K45,"AAAAAHvJWgg=")</f>
        <v>#VALUE!</v>
      </c>
      <c r="J5" t="e">
        <f>AND('MATRIX - Case Level'!L45,"AAAAAHvJWgk=")</f>
        <v>#VALUE!</v>
      </c>
      <c r="K5" t="e">
        <f>AND('MATRIX - Case Level'!#REF!,"AAAAAHvJWgo=")</f>
        <v>#REF!</v>
      </c>
      <c r="L5" t="e">
        <f>AND('MATRIX - Case Level'!O45,"AAAAAHvJWgs=")</f>
        <v>#VALUE!</v>
      </c>
      <c r="M5" t="e">
        <f>AND('MATRIX - Case Level'!P45,"AAAAAHvJWgw=")</f>
        <v>#VALUE!</v>
      </c>
      <c r="N5" t="e">
        <f>AND('MATRIX - Case Level'!Q45,"AAAAAHvJWg0=")</f>
        <v>#VALUE!</v>
      </c>
      <c r="O5" t="e">
        <f>AND('MATRIX - Case Level'!#REF!,"AAAAAHvJWg4=")</f>
        <v>#REF!</v>
      </c>
      <c r="P5" t="e">
        <f>AND('MATRIX - Case Level'!#REF!,"AAAAAHvJWg8=")</f>
        <v>#REF!</v>
      </c>
      <c r="Q5" t="e">
        <f>IF(#REF!,"AAAAAHvJWhA=",0)</f>
        <v>#REF!</v>
      </c>
      <c r="R5" t="e">
        <f>AND(#REF!,"AAAAAHvJWhE=")</f>
        <v>#REF!</v>
      </c>
      <c r="S5" t="e">
        <f>AND(#REF!,"AAAAAHvJWhI=")</f>
        <v>#REF!</v>
      </c>
      <c r="T5" t="e">
        <f>AND(#REF!,"AAAAAHvJWhM=")</f>
        <v>#REF!</v>
      </c>
      <c r="U5" t="e">
        <f>AND(#REF!,"AAAAAHvJWhQ=")</f>
        <v>#REF!</v>
      </c>
      <c r="V5" t="e">
        <f>AND(#REF!,"AAAAAHvJWhU=")</f>
        <v>#REF!</v>
      </c>
      <c r="W5" t="e">
        <f>AND(#REF!,"AAAAAHvJWhY=")</f>
        <v>#REF!</v>
      </c>
      <c r="X5" t="e">
        <f>AND(#REF!,"AAAAAHvJWhc=")</f>
        <v>#REF!</v>
      </c>
      <c r="Y5" t="e">
        <f>AND(#REF!,"AAAAAHvJWhg=")</f>
        <v>#REF!</v>
      </c>
      <c r="Z5" t="e">
        <f>AND(#REF!,"AAAAAHvJWhk=")</f>
        <v>#REF!</v>
      </c>
      <c r="AA5" t="e">
        <f>AND(#REF!,"AAAAAHvJWho=")</f>
        <v>#REF!</v>
      </c>
      <c r="AB5" t="e">
        <f>AND(#REF!,"AAAAAHvJWhs=")</f>
        <v>#REF!</v>
      </c>
      <c r="AC5" t="e">
        <f>AND(#REF!,"AAAAAHvJWhw=")</f>
        <v>#REF!</v>
      </c>
      <c r="AD5" t="e">
        <f>AND(#REF!,"AAAAAHvJWh0=")</f>
        <v>#REF!</v>
      </c>
      <c r="AE5" t="e">
        <f>AND(#REF!,"AAAAAHvJWh4=")</f>
        <v>#REF!</v>
      </c>
      <c r="AF5" t="e">
        <f>AND(#REF!,"AAAAAHvJWh8=")</f>
        <v>#REF!</v>
      </c>
      <c r="AG5" t="e">
        <f>AND(#REF!,"AAAAAHvJWiA=")</f>
        <v>#REF!</v>
      </c>
      <c r="AH5" t="e">
        <f>AND(#REF!,"AAAAAHvJWiE=")</f>
        <v>#REF!</v>
      </c>
      <c r="AI5" t="e">
        <f>AND(#REF!,"AAAAAHvJWiI=")</f>
        <v>#REF!</v>
      </c>
      <c r="AJ5" t="e">
        <f>AND(#REF!,"AAAAAHvJWiM=")</f>
        <v>#REF!</v>
      </c>
      <c r="AK5">
        <f>IF('MATRIX - Case Level'!46:46,"AAAAAHvJWiQ=",0)</f>
        <v>0</v>
      </c>
      <c r="AL5" t="e">
        <f>AND('MATRIX - Case Level'!A46,"AAAAAHvJWiU=")</f>
        <v>#VALUE!</v>
      </c>
      <c r="AM5" t="e">
        <f>AND('MATRIX - Case Level'!B46,"AAAAAHvJWiY=")</f>
        <v>#VALUE!</v>
      </c>
      <c r="AN5" t="e">
        <f>AND('MATRIX - Case Level'!C46,"AAAAAHvJWic=")</f>
        <v>#VALUE!</v>
      </c>
      <c r="AO5" t="e">
        <f>AND('MATRIX - Case Level'!#REF!,"AAAAAHvJWig=")</f>
        <v>#REF!</v>
      </c>
      <c r="AP5" t="e">
        <f>AND('MATRIX - Case Level'!D46,"AAAAAHvJWik=")</f>
        <v>#VALUE!</v>
      </c>
      <c r="AQ5" t="e">
        <f>AND('MATRIX - Case Level'!E46,"AAAAAHvJWio=")</f>
        <v>#VALUE!</v>
      </c>
      <c r="AR5" t="e">
        <f>AND('MATRIX - Case Level'!F46,"AAAAAHvJWis=")</f>
        <v>#VALUE!</v>
      </c>
      <c r="AS5" t="e">
        <f>AND('MATRIX - Case Level'!G46,"AAAAAHvJWiw=")</f>
        <v>#VALUE!</v>
      </c>
      <c r="AT5" t="e">
        <f>AND('MATRIX - Case Level'!H46,"AAAAAHvJWi0=")</f>
        <v>#VALUE!</v>
      </c>
      <c r="AU5" t="e">
        <f>AND('MATRIX - Case Level'!I46,"AAAAAHvJWi4=")</f>
        <v>#VALUE!</v>
      </c>
      <c r="AV5" t="e">
        <f>AND('MATRIX - Case Level'!J46,"AAAAAHvJWi8=")</f>
        <v>#VALUE!</v>
      </c>
      <c r="AW5" t="e">
        <f>AND('MATRIX - Case Level'!K46,"AAAAAHvJWjA=")</f>
        <v>#VALUE!</v>
      </c>
      <c r="AX5" t="e">
        <f>AND('MATRIX - Case Level'!L46,"AAAAAHvJWjE=")</f>
        <v>#VALUE!</v>
      </c>
      <c r="AY5" t="e">
        <f>AND('MATRIX - Case Level'!#REF!,"AAAAAHvJWjI=")</f>
        <v>#REF!</v>
      </c>
      <c r="AZ5" t="e">
        <f>AND('MATRIX - Case Level'!O46,"AAAAAHvJWjM=")</f>
        <v>#VALUE!</v>
      </c>
      <c r="BA5" t="e">
        <f>AND('MATRIX - Case Level'!P46,"AAAAAHvJWjQ=")</f>
        <v>#VALUE!</v>
      </c>
      <c r="BB5" t="e">
        <f>AND('MATRIX - Case Level'!Q46,"AAAAAHvJWjU=")</f>
        <v>#VALUE!</v>
      </c>
      <c r="BC5" t="e">
        <f>AND('MATRIX - Case Level'!#REF!,"AAAAAHvJWjY=")</f>
        <v>#REF!</v>
      </c>
      <c r="BD5" t="e">
        <f>AND('MATRIX - Case Level'!#REF!,"AAAAAHvJWjc=")</f>
        <v>#REF!</v>
      </c>
      <c r="BE5">
        <f>IF('MATRIX - Case Level'!47:47,"AAAAAHvJWjg=",0)</f>
        <v>0</v>
      </c>
      <c r="BF5" t="e">
        <f>AND('MATRIX - Case Level'!A47,"AAAAAHvJWjk=")</f>
        <v>#VALUE!</v>
      </c>
      <c r="BG5" t="e">
        <f>AND('MATRIX - Case Level'!B47,"AAAAAHvJWjo=")</f>
        <v>#VALUE!</v>
      </c>
      <c r="BH5" t="e">
        <f>AND('MATRIX - Case Level'!C47,"AAAAAHvJWjs=")</f>
        <v>#VALUE!</v>
      </c>
      <c r="BI5" t="e">
        <f>AND('MATRIX - Case Level'!#REF!,"AAAAAHvJWjw=")</f>
        <v>#REF!</v>
      </c>
      <c r="BJ5" t="e">
        <f>AND('MATRIX - Case Level'!D47,"AAAAAHvJWj0=")</f>
        <v>#VALUE!</v>
      </c>
      <c r="BK5" t="e">
        <f>AND('MATRIX - Case Level'!E47,"AAAAAHvJWj4=")</f>
        <v>#VALUE!</v>
      </c>
      <c r="BL5" t="e">
        <f>AND('MATRIX - Case Level'!F47,"AAAAAHvJWj8=")</f>
        <v>#VALUE!</v>
      </c>
      <c r="BM5" t="e">
        <f>AND('MATRIX - Case Level'!G47,"AAAAAHvJWkA=")</f>
        <v>#VALUE!</v>
      </c>
      <c r="BN5" t="e">
        <f>AND('MATRIX - Case Level'!H47,"AAAAAHvJWkE=")</f>
        <v>#VALUE!</v>
      </c>
      <c r="BO5" t="e">
        <f>AND('MATRIX - Case Level'!I47,"AAAAAHvJWkI=")</f>
        <v>#VALUE!</v>
      </c>
      <c r="BP5" t="e">
        <f>AND('MATRIX - Case Level'!J47,"AAAAAHvJWkM=")</f>
        <v>#VALUE!</v>
      </c>
      <c r="BQ5" t="e">
        <f>AND('MATRIX - Case Level'!K47,"AAAAAHvJWkQ=")</f>
        <v>#VALUE!</v>
      </c>
      <c r="BR5" t="e">
        <f>AND('MATRIX - Case Level'!L47,"AAAAAHvJWkU=")</f>
        <v>#VALUE!</v>
      </c>
      <c r="BS5" t="e">
        <f>AND('MATRIX - Case Level'!#REF!,"AAAAAHvJWkY=")</f>
        <v>#REF!</v>
      </c>
      <c r="BT5" t="e">
        <f>AND('MATRIX - Case Level'!O47,"AAAAAHvJWkc=")</f>
        <v>#VALUE!</v>
      </c>
      <c r="BU5" t="e">
        <f>AND('MATRIX - Case Level'!P47,"AAAAAHvJWkg=")</f>
        <v>#VALUE!</v>
      </c>
      <c r="BV5" t="e">
        <f>AND('MATRIX - Case Level'!Q47,"AAAAAHvJWkk=")</f>
        <v>#VALUE!</v>
      </c>
      <c r="BW5" t="e">
        <f>AND('MATRIX - Case Level'!#REF!,"AAAAAHvJWko=")</f>
        <v>#REF!</v>
      </c>
      <c r="BX5" t="e">
        <f>AND('MATRIX - Case Level'!#REF!,"AAAAAHvJWks=")</f>
        <v>#REF!</v>
      </c>
      <c r="BY5">
        <f>IF('MATRIX - Case Level'!48:48,"AAAAAHvJWkw=",0)</f>
        <v>0</v>
      </c>
      <c r="BZ5" t="e">
        <f>AND('MATRIX - Case Level'!A48,"AAAAAHvJWk0=")</f>
        <v>#VALUE!</v>
      </c>
      <c r="CA5" t="e">
        <f>AND('MATRIX - Case Level'!B48,"AAAAAHvJWk4=")</f>
        <v>#VALUE!</v>
      </c>
      <c r="CB5" t="e">
        <f>AND('MATRIX - Case Level'!C48,"AAAAAHvJWk8=")</f>
        <v>#VALUE!</v>
      </c>
      <c r="CC5" t="e">
        <f>AND('MATRIX - Case Level'!#REF!,"AAAAAHvJWlA=")</f>
        <v>#REF!</v>
      </c>
      <c r="CD5" t="e">
        <f>AND('MATRIX - Case Level'!D48,"AAAAAHvJWlE=")</f>
        <v>#VALUE!</v>
      </c>
      <c r="CE5" t="e">
        <f>AND('MATRIX - Case Level'!E48,"AAAAAHvJWlI=")</f>
        <v>#VALUE!</v>
      </c>
      <c r="CF5" t="e">
        <f>AND('MATRIX - Case Level'!F48,"AAAAAHvJWlM=")</f>
        <v>#VALUE!</v>
      </c>
      <c r="CG5" t="e">
        <f>AND('MATRIX - Case Level'!G48,"AAAAAHvJWlQ=")</f>
        <v>#VALUE!</v>
      </c>
      <c r="CH5" t="e">
        <f>AND('MATRIX - Case Level'!H48,"AAAAAHvJWlU=")</f>
        <v>#VALUE!</v>
      </c>
      <c r="CI5" t="e">
        <f>AND('MATRIX - Case Level'!I48,"AAAAAHvJWlY=")</f>
        <v>#VALUE!</v>
      </c>
      <c r="CJ5" t="e">
        <f>AND('MATRIX - Case Level'!J48,"AAAAAHvJWlc=")</f>
        <v>#VALUE!</v>
      </c>
      <c r="CK5" t="e">
        <f>AND('MATRIX - Case Level'!K48,"AAAAAHvJWlg=")</f>
        <v>#VALUE!</v>
      </c>
      <c r="CL5" t="e">
        <f>AND('MATRIX - Case Level'!L48,"AAAAAHvJWlk=")</f>
        <v>#VALUE!</v>
      </c>
      <c r="CM5" t="e">
        <f>AND('MATRIX - Case Level'!#REF!,"AAAAAHvJWlo=")</f>
        <v>#REF!</v>
      </c>
      <c r="CN5" t="e">
        <f>AND('MATRIX - Case Level'!O48,"AAAAAHvJWls=")</f>
        <v>#VALUE!</v>
      </c>
      <c r="CO5" t="e">
        <f>AND('MATRIX - Case Level'!P48,"AAAAAHvJWlw=")</f>
        <v>#VALUE!</v>
      </c>
      <c r="CP5" t="e">
        <f>AND('MATRIX - Case Level'!Q48,"AAAAAHvJWl0=")</f>
        <v>#VALUE!</v>
      </c>
      <c r="CQ5" t="e">
        <f>AND('MATRIX - Case Level'!#REF!,"AAAAAHvJWl4=")</f>
        <v>#REF!</v>
      </c>
      <c r="CR5" t="e">
        <f>AND('MATRIX - Case Level'!#REF!,"AAAAAHvJWl8=")</f>
        <v>#REF!</v>
      </c>
      <c r="CS5">
        <f>IF('MATRIX - Case Level'!49:49,"AAAAAHvJWmA=",0)</f>
        <v>0</v>
      </c>
      <c r="CT5" t="e">
        <f>AND('MATRIX - Case Level'!A49,"AAAAAHvJWmE=")</f>
        <v>#VALUE!</v>
      </c>
      <c r="CU5" t="e">
        <f>AND('MATRIX - Case Level'!B49,"AAAAAHvJWmI=")</f>
        <v>#VALUE!</v>
      </c>
      <c r="CV5" t="e">
        <f>AND('MATRIX - Case Level'!C49,"AAAAAHvJWmM=")</f>
        <v>#VALUE!</v>
      </c>
      <c r="CW5" t="e">
        <f>AND('MATRIX - Case Level'!#REF!,"AAAAAHvJWmQ=")</f>
        <v>#REF!</v>
      </c>
      <c r="CX5" t="e">
        <f>AND('MATRIX - Case Level'!D49,"AAAAAHvJWmU=")</f>
        <v>#VALUE!</v>
      </c>
      <c r="CY5" t="e">
        <f>AND('MATRIX - Case Level'!E49,"AAAAAHvJWmY=")</f>
        <v>#VALUE!</v>
      </c>
      <c r="CZ5" t="e">
        <f>AND('MATRIX - Case Level'!F49,"AAAAAHvJWmc=")</f>
        <v>#VALUE!</v>
      </c>
      <c r="DA5" t="e">
        <f>AND('MATRIX - Case Level'!G49,"AAAAAHvJWmg=")</f>
        <v>#VALUE!</v>
      </c>
      <c r="DB5" t="e">
        <f>AND('MATRIX - Case Level'!H49,"AAAAAHvJWmk=")</f>
        <v>#VALUE!</v>
      </c>
      <c r="DC5" t="e">
        <f>AND('MATRIX - Case Level'!I49,"AAAAAHvJWmo=")</f>
        <v>#VALUE!</v>
      </c>
      <c r="DD5" t="e">
        <f>AND('MATRIX - Case Level'!J49,"AAAAAHvJWms=")</f>
        <v>#VALUE!</v>
      </c>
      <c r="DE5" t="e">
        <f>AND('MATRIX - Case Level'!K49,"AAAAAHvJWmw=")</f>
        <v>#VALUE!</v>
      </c>
      <c r="DF5" t="e">
        <f>AND('MATRIX - Case Level'!L49,"AAAAAHvJWm0=")</f>
        <v>#VALUE!</v>
      </c>
      <c r="DG5" t="e">
        <f>AND('MATRIX - Case Level'!#REF!,"AAAAAHvJWm4=")</f>
        <v>#REF!</v>
      </c>
      <c r="DH5" t="e">
        <f>AND('MATRIX - Case Level'!O49,"AAAAAHvJWm8=")</f>
        <v>#VALUE!</v>
      </c>
      <c r="DI5" t="e">
        <f>AND('MATRIX - Case Level'!P49,"AAAAAHvJWnA=")</f>
        <v>#VALUE!</v>
      </c>
      <c r="DJ5" t="e">
        <f>AND('MATRIX - Case Level'!Q49,"AAAAAHvJWnE=")</f>
        <v>#VALUE!</v>
      </c>
      <c r="DK5" t="e">
        <f>AND('MATRIX - Case Level'!#REF!,"AAAAAHvJWnI=")</f>
        <v>#REF!</v>
      </c>
      <c r="DL5" t="e">
        <f>AND('MATRIX - Case Level'!#REF!,"AAAAAHvJWnM=")</f>
        <v>#REF!</v>
      </c>
      <c r="DM5">
        <f>IF('MATRIX - Case Level'!51:51,"AAAAAHvJWnQ=",0)</f>
        <v>0</v>
      </c>
      <c r="DN5" t="e">
        <f>AND('MATRIX - Case Level'!A51,"AAAAAHvJWnU=")</f>
        <v>#VALUE!</v>
      </c>
      <c r="DO5" t="e">
        <f>AND('MATRIX - Case Level'!B51,"AAAAAHvJWnY=")</f>
        <v>#VALUE!</v>
      </c>
      <c r="DP5" t="e">
        <f>AND('MATRIX - Case Level'!C51,"AAAAAHvJWnc=")</f>
        <v>#VALUE!</v>
      </c>
      <c r="DQ5" t="e">
        <f>AND('MATRIX - Case Level'!#REF!,"AAAAAHvJWng=")</f>
        <v>#REF!</v>
      </c>
      <c r="DR5" t="e">
        <f>AND('MATRIX - Case Level'!D51,"AAAAAHvJWnk=")</f>
        <v>#VALUE!</v>
      </c>
      <c r="DS5" t="e">
        <f>AND('MATRIX - Case Level'!E51,"AAAAAHvJWno=")</f>
        <v>#VALUE!</v>
      </c>
      <c r="DT5" t="e">
        <f>AND('MATRIX - Case Level'!F51,"AAAAAHvJWns=")</f>
        <v>#VALUE!</v>
      </c>
      <c r="DU5" t="e">
        <f>AND('MATRIX - Case Level'!G51,"AAAAAHvJWnw=")</f>
        <v>#VALUE!</v>
      </c>
      <c r="DV5" t="e">
        <f>AND('MATRIX - Case Level'!H51,"AAAAAHvJWn0=")</f>
        <v>#VALUE!</v>
      </c>
      <c r="DW5" t="e">
        <f>AND('MATRIX - Case Level'!I51,"AAAAAHvJWn4=")</f>
        <v>#VALUE!</v>
      </c>
      <c r="DX5" t="e">
        <f>AND('MATRIX - Case Level'!J51,"AAAAAHvJWn8=")</f>
        <v>#VALUE!</v>
      </c>
      <c r="DY5" t="e">
        <f>AND('MATRIX - Case Level'!K51,"AAAAAHvJWoA=")</f>
        <v>#VALUE!</v>
      </c>
      <c r="DZ5" t="e">
        <f>AND('MATRIX - Case Level'!L51,"AAAAAHvJWoE=")</f>
        <v>#VALUE!</v>
      </c>
      <c r="EA5" t="e">
        <f>AND('MATRIX - Case Level'!#REF!,"AAAAAHvJWoI=")</f>
        <v>#REF!</v>
      </c>
      <c r="EB5" t="e">
        <f>AND('MATRIX - Case Level'!O51,"AAAAAHvJWoM=")</f>
        <v>#VALUE!</v>
      </c>
      <c r="EC5" t="e">
        <f>AND('MATRIX - Case Level'!P51,"AAAAAHvJWoQ=")</f>
        <v>#VALUE!</v>
      </c>
      <c r="ED5" t="e">
        <f>AND('MATRIX - Case Level'!Q51,"AAAAAHvJWoU=")</f>
        <v>#VALUE!</v>
      </c>
      <c r="EE5" t="e">
        <f>AND('MATRIX - Case Level'!#REF!,"AAAAAHvJWoY=")</f>
        <v>#REF!</v>
      </c>
      <c r="EF5" t="e">
        <f>AND('MATRIX - Case Level'!#REF!,"AAAAAHvJWoc=")</f>
        <v>#REF!</v>
      </c>
      <c r="EG5">
        <f>IF('MATRIX - Case Level'!52:52,"AAAAAHvJWog=",0)</f>
        <v>0</v>
      </c>
      <c r="EH5" t="e">
        <f>AND('MATRIX - Case Level'!A52,"AAAAAHvJWok=")</f>
        <v>#VALUE!</v>
      </c>
      <c r="EI5" t="e">
        <f>AND('MATRIX - Case Level'!B52,"AAAAAHvJWoo=")</f>
        <v>#VALUE!</v>
      </c>
      <c r="EJ5" t="e">
        <f>AND('MATRIX - Case Level'!C52,"AAAAAHvJWos=")</f>
        <v>#VALUE!</v>
      </c>
      <c r="EK5" t="e">
        <f>AND('MATRIX - Case Level'!#REF!,"AAAAAHvJWow=")</f>
        <v>#REF!</v>
      </c>
      <c r="EL5" t="e">
        <f>AND('MATRIX - Case Level'!D52,"AAAAAHvJWo0=")</f>
        <v>#VALUE!</v>
      </c>
      <c r="EM5" t="e">
        <f>AND('MATRIX - Case Level'!E52,"AAAAAHvJWo4=")</f>
        <v>#VALUE!</v>
      </c>
      <c r="EN5" t="e">
        <f>AND('MATRIX - Case Level'!F52,"AAAAAHvJWo8=")</f>
        <v>#VALUE!</v>
      </c>
      <c r="EO5" t="e">
        <f>AND('MATRIX - Case Level'!G52,"AAAAAHvJWpA=")</f>
        <v>#VALUE!</v>
      </c>
      <c r="EP5" t="e">
        <f>AND('MATRIX - Case Level'!H52,"AAAAAHvJWpE=")</f>
        <v>#VALUE!</v>
      </c>
      <c r="EQ5" t="e">
        <f>AND('MATRIX - Case Level'!I52,"AAAAAHvJWpI=")</f>
        <v>#VALUE!</v>
      </c>
      <c r="ER5" t="e">
        <f>AND('MATRIX - Case Level'!J52,"AAAAAHvJWpM=")</f>
        <v>#VALUE!</v>
      </c>
      <c r="ES5" t="e">
        <f>AND('MATRIX - Case Level'!K52,"AAAAAHvJWpQ=")</f>
        <v>#VALUE!</v>
      </c>
      <c r="ET5" t="e">
        <f>AND('MATRIX - Case Level'!L52,"AAAAAHvJWpU=")</f>
        <v>#VALUE!</v>
      </c>
      <c r="EU5" t="e">
        <f>AND('MATRIX - Case Level'!#REF!,"AAAAAHvJWpY=")</f>
        <v>#REF!</v>
      </c>
      <c r="EV5" t="e">
        <f>AND('MATRIX - Case Level'!O52,"AAAAAHvJWpc=")</f>
        <v>#VALUE!</v>
      </c>
      <c r="EW5" t="e">
        <f>AND('MATRIX - Case Level'!P52,"AAAAAHvJWpg=")</f>
        <v>#VALUE!</v>
      </c>
      <c r="EX5" t="e">
        <f>AND('MATRIX - Case Level'!Q52,"AAAAAHvJWpk=")</f>
        <v>#VALUE!</v>
      </c>
      <c r="EY5" t="e">
        <f>AND('MATRIX - Case Level'!#REF!,"AAAAAHvJWpo=")</f>
        <v>#REF!</v>
      </c>
      <c r="EZ5" t="e">
        <f>AND('MATRIX - Case Level'!#REF!,"AAAAAHvJWps=")</f>
        <v>#REF!</v>
      </c>
      <c r="FA5">
        <f>IF('MATRIX - Case Level'!53:53,"AAAAAHvJWpw=",0)</f>
        <v>0</v>
      </c>
      <c r="FB5" t="e">
        <f>AND('MATRIX - Case Level'!A53,"AAAAAHvJWp0=")</f>
        <v>#VALUE!</v>
      </c>
      <c r="FC5" t="e">
        <f>AND('MATRIX - Case Level'!B53,"AAAAAHvJWp4=")</f>
        <v>#VALUE!</v>
      </c>
      <c r="FD5" t="e">
        <f>AND('MATRIX - Case Level'!C53,"AAAAAHvJWp8=")</f>
        <v>#VALUE!</v>
      </c>
      <c r="FE5" t="e">
        <f>AND('MATRIX - Case Level'!#REF!,"AAAAAHvJWqA=")</f>
        <v>#REF!</v>
      </c>
      <c r="FF5" t="e">
        <f>AND('MATRIX - Case Level'!D53,"AAAAAHvJWqE=")</f>
        <v>#VALUE!</v>
      </c>
      <c r="FG5" t="e">
        <f>AND('MATRIX - Case Level'!E53,"AAAAAHvJWqI=")</f>
        <v>#VALUE!</v>
      </c>
      <c r="FH5" t="e">
        <f>AND('MATRIX - Case Level'!F53,"AAAAAHvJWqM=")</f>
        <v>#VALUE!</v>
      </c>
      <c r="FI5" t="e">
        <f>AND('MATRIX - Case Level'!G53,"AAAAAHvJWqQ=")</f>
        <v>#VALUE!</v>
      </c>
      <c r="FJ5" t="e">
        <f>AND('MATRIX - Case Level'!H53,"AAAAAHvJWqU=")</f>
        <v>#VALUE!</v>
      </c>
      <c r="FK5" t="e">
        <f>AND('MATRIX - Case Level'!I53,"AAAAAHvJWqY=")</f>
        <v>#VALUE!</v>
      </c>
      <c r="FL5" t="e">
        <f>AND('MATRIX - Case Level'!J53,"AAAAAHvJWqc=")</f>
        <v>#VALUE!</v>
      </c>
      <c r="FM5" t="e">
        <f>AND('MATRIX - Case Level'!K53,"AAAAAHvJWqg=")</f>
        <v>#VALUE!</v>
      </c>
      <c r="FN5" t="e">
        <f>AND('MATRIX - Case Level'!L53,"AAAAAHvJWqk=")</f>
        <v>#VALUE!</v>
      </c>
      <c r="FO5" t="e">
        <f>AND('MATRIX - Case Level'!#REF!,"AAAAAHvJWqo=")</f>
        <v>#REF!</v>
      </c>
      <c r="FP5" t="e">
        <f>AND('MATRIX - Case Level'!O53,"AAAAAHvJWqs=")</f>
        <v>#VALUE!</v>
      </c>
      <c r="FQ5" t="e">
        <f>AND('MATRIX - Case Level'!P53,"AAAAAHvJWqw=")</f>
        <v>#VALUE!</v>
      </c>
      <c r="FR5" t="e">
        <f>AND('MATRIX - Case Level'!Q53,"AAAAAHvJWq0=")</f>
        <v>#VALUE!</v>
      </c>
      <c r="FS5" t="e">
        <f>AND('MATRIX - Case Level'!#REF!,"AAAAAHvJWq4=")</f>
        <v>#REF!</v>
      </c>
      <c r="FT5" t="e">
        <f>AND('MATRIX - Case Level'!#REF!,"AAAAAHvJWq8=")</f>
        <v>#REF!</v>
      </c>
      <c r="FU5">
        <f>IF('MATRIX - Case Level'!54:54,"AAAAAHvJWrA=",0)</f>
        <v>0</v>
      </c>
      <c r="FV5" t="e">
        <f>AND('MATRIX - Case Level'!A54,"AAAAAHvJWrE=")</f>
        <v>#VALUE!</v>
      </c>
      <c r="FW5" t="e">
        <f>AND('MATRIX - Case Level'!B54,"AAAAAHvJWrI=")</f>
        <v>#VALUE!</v>
      </c>
      <c r="FX5" t="e">
        <f>AND('MATRIX - Case Level'!C54,"AAAAAHvJWrM=")</f>
        <v>#VALUE!</v>
      </c>
      <c r="FY5" t="e">
        <f>AND('MATRIX - Case Level'!#REF!,"AAAAAHvJWrQ=")</f>
        <v>#REF!</v>
      </c>
      <c r="FZ5" t="e">
        <f>AND('MATRIX - Case Level'!D54,"AAAAAHvJWrU=")</f>
        <v>#VALUE!</v>
      </c>
      <c r="GA5" t="e">
        <f>AND('MATRIX - Case Level'!E54,"AAAAAHvJWrY=")</f>
        <v>#VALUE!</v>
      </c>
      <c r="GB5" t="e">
        <f>AND('MATRIX - Case Level'!F54,"AAAAAHvJWrc=")</f>
        <v>#VALUE!</v>
      </c>
      <c r="GC5" t="e">
        <f>AND('MATRIX - Case Level'!G54,"AAAAAHvJWrg=")</f>
        <v>#VALUE!</v>
      </c>
      <c r="GD5" t="e">
        <f>AND('MATRIX - Case Level'!H54,"AAAAAHvJWrk=")</f>
        <v>#VALUE!</v>
      </c>
      <c r="GE5" t="e">
        <f>AND('MATRIX - Case Level'!I54,"AAAAAHvJWro=")</f>
        <v>#VALUE!</v>
      </c>
      <c r="GF5" t="e">
        <f>AND('MATRIX - Case Level'!J54,"AAAAAHvJWrs=")</f>
        <v>#VALUE!</v>
      </c>
      <c r="GG5" t="e">
        <f>AND('MATRIX - Case Level'!K54,"AAAAAHvJWrw=")</f>
        <v>#VALUE!</v>
      </c>
      <c r="GH5" t="e">
        <f>AND('MATRIX - Case Level'!L54,"AAAAAHvJWr0=")</f>
        <v>#VALUE!</v>
      </c>
      <c r="GI5" t="e">
        <f>AND('MATRIX - Case Level'!#REF!,"AAAAAHvJWr4=")</f>
        <v>#REF!</v>
      </c>
      <c r="GJ5" t="e">
        <f>AND('MATRIX - Case Level'!O54,"AAAAAHvJWr8=")</f>
        <v>#VALUE!</v>
      </c>
      <c r="GK5" t="e">
        <f>AND('MATRIX - Case Level'!P54,"AAAAAHvJWsA=")</f>
        <v>#VALUE!</v>
      </c>
      <c r="GL5" t="e">
        <f>AND('MATRIX - Case Level'!Q54,"AAAAAHvJWsE=")</f>
        <v>#VALUE!</v>
      </c>
      <c r="GM5" t="e">
        <f>AND('MATRIX - Case Level'!#REF!,"AAAAAHvJWsI=")</f>
        <v>#REF!</v>
      </c>
      <c r="GN5" t="e">
        <f>AND('MATRIX - Case Level'!#REF!,"AAAAAHvJWsM=")</f>
        <v>#REF!</v>
      </c>
      <c r="GO5">
        <f>IF('MATRIX - Case Level'!55:55,"AAAAAHvJWsQ=",0)</f>
        <v>0</v>
      </c>
      <c r="GP5" t="e">
        <f>AND('MATRIX - Case Level'!A55,"AAAAAHvJWsU=")</f>
        <v>#VALUE!</v>
      </c>
      <c r="GQ5" t="e">
        <f>AND('MATRIX - Case Level'!B55,"AAAAAHvJWsY=")</f>
        <v>#VALUE!</v>
      </c>
      <c r="GR5" t="e">
        <f>AND('MATRIX - Case Level'!C55,"AAAAAHvJWsc=")</f>
        <v>#VALUE!</v>
      </c>
      <c r="GS5" t="e">
        <f>AND('MATRIX - Case Level'!#REF!,"AAAAAHvJWsg=")</f>
        <v>#REF!</v>
      </c>
      <c r="GT5" t="e">
        <f>AND('MATRIX - Case Level'!D55,"AAAAAHvJWsk=")</f>
        <v>#VALUE!</v>
      </c>
      <c r="GU5" t="e">
        <f>AND('MATRIX - Case Level'!E55,"AAAAAHvJWso=")</f>
        <v>#VALUE!</v>
      </c>
      <c r="GV5" t="e">
        <f>AND('MATRIX - Case Level'!F55,"AAAAAHvJWss=")</f>
        <v>#VALUE!</v>
      </c>
      <c r="GW5" t="e">
        <f>AND('MATRIX - Case Level'!G55,"AAAAAHvJWsw=")</f>
        <v>#VALUE!</v>
      </c>
      <c r="GX5" t="e">
        <f>AND('MATRIX - Case Level'!H55,"AAAAAHvJWs0=")</f>
        <v>#VALUE!</v>
      </c>
      <c r="GY5" t="e">
        <f>AND('MATRIX - Case Level'!I55,"AAAAAHvJWs4=")</f>
        <v>#VALUE!</v>
      </c>
      <c r="GZ5" t="e">
        <f>AND('MATRIX - Case Level'!J55,"AAAAAHvJWs8=")</f>
        <v>#VALUE!</v>
      </c>
      <c r="HA5" t="e">
        <f>AND('MATRIX - Case Level'!K55,"AAAAAHvJWtA=")</f>
        <v>#VALUE!</v>
      </c>
      <c r="HB5" t="e">
        <f>AND('MATRIX - Case Level'!L55,"AAAAAHvJWtE=")</f>
        <v>#VALUE!</v>
      </c>
      <c r="HC5" t="e">
        <f>AND('MATRIX - Case Level'!#REF!,"AAAAAHvJWtI=")</f>
        <v>#REF!</v>
      </c>
      <c r="HD5" t="e">
        <f>AND('MATRIX - Case Level'!O55,"AAAAAHvJWtM=")</f>
        <v>#VALUE!</v>
      </c>
      <c r="HE5" t="e">
        <f>AND('MATRIX - Case Level'!P55,"AAAAAHvJWtQ=")</f>
        <v>#VALUE!</v>
      </c>
      <c r="HF5" t="e">
        <f>AND('MATRIX - Case Level'!Q55,"AAAAAHvJWtU=")</f>
        <v>#VALUE!</v>
      </c>
      <c r="HG5" t="e">
        <f>AND('MATRIX - Case Level'!#REF!,"AAAAAHvJWtY=")</f>
        <v>#REF!</v>
      </c>
      <c r="HH5" t="e">
        <f>AND('MATRIX - Case Level'!#REF!,"AAAAAHvJWtc=")</f>
        <v>#REF!</v>
      </c>
      <c r="HI5">
        <f>IF('MATRIX - Case Level'!56:56,"AAAAAHvJWtg=",0)</f>
        <v>0</v>
      </c>
      <c r="HJ5" t="e">
        <f>AND('MATRIX - Case Level'!A56,"AAAAAHvJWtk=")</f>
        <v>#VALUE!</v>
      </c>
      <c r="HK5" t="e">
        <f>AND('MATRIX - Case Level'!B56,"AAAAAHvJWto=")</f>
        <v>#VALUE!</v>
      </c>
      <c r="HL5" t="e">
        <f>AND('MATRIX - Case Level'!C56,"AAAAAHvJWts=")</f>
        <v>#VALUE!</v>
      </c>
      <c r="HM5" t="e">
        <f>AND('MATRIX - Case Level'!#REF!,"AAAAAHvJWtw=")</f>
        <v>#REF!</v>
      </c>
      <c r="HN5" t="e">
        <f>AND('MATRIX - Case Level'!D56,"AAAAAHvJWt0=")</f>
        <v>#VALUE!</v>
      </c>
      <c r="HO5" t="e">
        <f>AND('MATRIX - Case Level'!E56,"AAAAAHvJWt4=")</f>
        <v>#VALUE!</v>
      </c>
      <c r="HP5" t="e">
        <f>AND('MATRIX - Case Level'!F56,"AAAAAHvJWt8=")</f>
        <v>#VALUE!</v>
      </c>
      <c r="HQ5" t="e">
        <f>AND('MATRIX - Case Level'!G56,"AAAAAHvJWuA=")</f>
        <v>#VALUE!</v>
      </c>
      <c r="HR5" t="e">
        <f>AND('MATRIX - Case Level'!H56,"AAAAAHvJWuE=")</f>
        <v>#VALUE!</v>
      </c>
      <c r="HS5" t="e">
        <f>AND('MATRIX - Case Level'!I56,"AAAAAHvJWuI=")</f>
        <v>#VALUE!</v>
      </c>
      <c r="HT5" t="e">
        <f>AND('MATRIX - Case Level'!J56,"AAAAAHvJWuM=")</f>
        <v>#VALUE!</v>
      </c>
      <c r="HU5" t="e">
        <f>AND('MATRIX - Case Level'!K56,"AAAAAHvJWuQ=")</f>
        <v>#VALUE!</v>
      </c>
      <c r="HV5" t="e">
        <f>AND('MATRIX - Case Level'!L56,"AAAAAHvJWuU=")</f>
        <v>#VALUE!</v>
      </c>
      <c r="HW5" t="e">
        <f>AND('MATRIX - Case Level'!#REF!,"AAAAAHvJWuY=")</f>
        <v>#REF!</v>
      </c>
      <c r="HX5" t="e">
        <f>AND('MATRIX - Case Level'!O56,"AAAAAHvJWuc=")</f>
        <v>#VALUE!</v>
      </c>
      <c r="HY5" t="e">
        <f>AND('MATRIX - Case Level'!P56,"AAAAAHvJWug=")</f>
        <v>#VALUE!</v>
      </c>
      <c r="HZ5" t="e">
        <f>AND('MATRIX - Case Level'!Q56,"AAAAAHvJWuk=")</f>
        <v>#VALUE!</v>
      </c>
      <c r="IA5" t="e">
        <f>AND('MATRIX - Case Level'!#REF!,"AAAAAHvJWuo=")</f>
        <v>#REF!</v>
      </c>
      <c r="IB5" t="e">
        <f>AND('MATRIX - Case Level'!#REF!,"AAAAAHvJWus=")</f>
        <v>#REF!</v>
      </c>
      <c r="IC5">
        <f>IF('MATRIX - Case Level'!57:57,"AAAAAHvJWuw=",0)</f>
        <v>0</v>
      </c>
      <c r="ID5" t="e">
        <f>AND('MATRIX - Case Level'!A57,"AAAAAHvJWu0=")</f>
        <v>#VALUE!</v>
      </c>
      <c r="IE5" t="e">
        <f>AND('MATRIX - Case Level'!B57,"AAAAAHvJWu4=")</f>
        <v>#VALUE!</v>
      </c>
      <c r="IF5" t="e">
        <f>AND('MATRIX - Case Level'!C57,"AAAAAHvJWu8=")</f>
        <v>#VALUE!</v>
      </c>
      <c r="IG5" t="e">
        <f>AND('MATRIX - Case Level'!#REF!,"AAAAAHvJWvA=")</f>
        <v>#REF!</v>
      </c>
      <c r="IH5" t="e">
        <f>AND('MATRIX - Case Level'!D57,"AAAAAHvJWvE=")</f>
        <v>#VALUE!</v>
      </c>
      <c r="II5" t="e">
        <f>AND('MATRIX - Case Level'!E57,"AAAAAHvJWvI=")</f>
        <v>#VALUE!</v>
      </c>
      <c r="IJ5" t="e">
        <f>AND('MATRIX - Case Level'!F57,"AAAAAHvJWvM=")</f>
        <v>#VALUE!</v>
      </c>
      <c r="IK5" t="e">
        <f>AND('MATRIX - Case Level'!G57,"AAAAAHvJWvQ=")</f>
        <v>#VALUE!</v>
      </c>
      <c r="IL5" t="e">
        <f>AND('MATRIX - Case Level'!H57,"AAAAAHvJWvU=")</f>
        <v>#VALUE!</v>
      </c>
      <c r="IM5" t="e">
        <f>AND('MATRIX - Case Level'!I57,"AAAAAHvJWvY=")</f>
        <v>#VALUE!</v>
      </c>
      <c r="IN5" t="e">
        <f>AND('MATRIX - Case Level'!J57,"AAAAAHvJWvc=")</f>
        <v>#VALUE!</v>
      </c>
      <c r="IO5" t="e">
        <f>AND('MATRIX - Case Level'!K57,"AAAAAHvJWvg=")</f>
        <v>#VALUE!</v>
      </c>
      <c r="IP5" t="e">
        <f>AND('MATRIX - Case Level'!L57,"AAAAAHvJWvk=")</f>
        <v>#VALUE!</v>
      </c>
      <c r="IQ5" t="e">
        <f>AND('MATRIX - Case Level'!#REF!,"AAAAAHvJWvo=")</f>
        <v>#REF!</v>
      </c>
      <c r="IR5" t="e">
        <f>AND('MATRIX - Case Level'!O57,"AAAAAHvJWvs=")</f>
        <v>#VALUE!</v>
      </c>
      <c r="IS5" t="e">
        <f>AND('MATRIX - Case Level'!P57,"AAAAAHvJWvw=")</f>
        <v>#VALUE!</v>
      </c>
      <c r="IT5" t="e">
        <f>AND('MATRIX - Case Level'!Q58,"AAAAAHvJWv0=")</f>
        <v>#VALUE!</v>
      </c>
      <c r="IU5" t="e">
        <f>AND('MATRIX - Case Level'!#REF!,"AAAAAHvJWv4=")</f>
        <v>#REF!</v>
      </c>
      <c r="IV5" t="e">
        <f>AND('MATRIX - Case Level'!#REF!,"AAAAAHvJWv8=")</f>
        <v>#REF!</v>
      </c>
    </row>
    <row r="6" spans="1:256" ht="12.75">
      <c r="A6" t="e">
        <f>IF('MATRIX - Case Level'!58:58,"AAAAAFf/bwA=",0)</f>
        <v>#VALUE!</v>
      </c>
      <c r="B6" t="e">
        <f>AND('MATRIX - Case Level'!A58,"AAAAAFf/bwE=")</f>
        <v>#VALUE!</v>
      </c>
      <c r="C6" t="e">
        <f>AND('MATRIX - Case Level'!B58,"AAAAAFf/bwI=")</f>
        <v>#VALUE!</v>
      </c>
      <c r="D6" t="e">
        <f>AND('MATRIX - Case Level'!C58,"AAAAAFf/bwM=")</f>
        <v>#VALUE!</v>
      </c>
      <c r="E6" t="e">
        <f>AND('MATRIX - Case Level'!#REF!,"AAAAAFf/bwQ=")</f>
        <v>#REF!</v>
      </c>
      <c r="F6" t="e">
        <f>AND('MATRIX - Case Level'!D58,"AAAAAFf/bwU=")</f>
        <v>#VALUE!</v>
      </c>
      <c r="G6" t="e">
        <f>AND('MATRIX - Case Level'!E58,"AAAAAFf/bwY=")</f>
        <v>#VALUE!</v>
      </c>
      <c r="H6" t="e">
        <f>AND('MATRIX - Case Level'!F58,"AAAAAFf/bwc=")</f>
        <v>#VALUE!</v>
      </c>
      <c r="I6" t="e">
        <f>AND('MATRIX - Case Level'!G58,"AAAAAFf/bwg=")</f>
        <v>#VALUE!</v>
      </c>
      <c r="J6" t="e">
        <f>AND('MATRIX - Case Level'!H58,"AAAAAFf/bwk=")</f>
        <v>#VALUE!</v>
      </c>
      <c r="K6" t="e">
        <f>AND('MATRIX - Case Level'!I58,"AAAAAFf/bwo=")</f>
        <v>#VALUE!</v>
      </c>
      <c r="L6" t="e">
        <f>AND('MATRIX - Case Level'!J58,"AAAAAFf/bws=")</f>
        <v>#VALUE!</v>
      </c>
      <c r="M6" t="e">
        <f>AND('MATRIX - Case Level'!K58,"AAAAAFf/bww=")</f>
        <v>#VALUE!</v>
      </c>
      <c r="N6" t="e">
        <f>AND('MATRIX - Case Level'!L58,"AAAAAFf/bw0=")</f>
        <v>#VALUE!</v>
      </c>
      <c r="O6" t="e">
        <f>AND('MATRIX - Case Level'!#REF!,"AAAAAFf/bw4=")</f>
        <v>#REF!</v>
      </c>
      <c r="P6" t="e">
        <f>AND('MATRIX - Case Level'!O58,"AAAAAFf/bw8=")</f>
        <v>#VALUE!</v>
      </c>
      <c r="Q6" t="e">
        <f>AND('MATRIX - Case Level'!#REF!,"AAAAAFf/bxA=")</f>
        <v>#REF!</v>
      </c>
      <c r="R6" t="e">
        <f>AND('MATRIX - Case Level'!#REF!,"AAAAAFf/bxE=")</f>
        <v>#REF!</v>
      </c>
      <c r="S6" t="e">
        <f>AND('MATRIX - Case Level'!#REF!,"AAAAAFf/bxI=")</f>
        <v>#REF!</v>
      </c>
      <c r="T6" t="e">
        <f>AND('MATRIX - Case Level'!#REF!,"AAAAAFf/bxM=")</f>
        <v>#REF!</v>
      </c>
      <c r="U6">
        <f>IF('MATRIX - Case Level'!59:59,"AAAAAFf/bxQ=",0)</f>
        <v>0</v>
      </c>
      <c r="V6" t="e">
        <f>AND('MATRIX - Case Level'!A59,"AAAAAFf/bxU=")</f>
        <v>#VALUE!</v>
      </c>
      <c r="W6" t="e">
        <f>AND('MATRIX - Case Level'!B59,"AAAAAFf/bxY=")</f>
        <v>#VALUE!</v>
      </c>
      <c r="X6" t="e">
        <f>AND('MATRIX - Case Level'!C59,"AAAAAFf/bxc=")</f>
        <v>#VALUE!</v>
      </c>
      <c r="Y6" t="e">
        <f>AND('MATRIX - Case Level'!#REF!,"AAAAAFf/bxg=")</f>
        <v>#REF!</v>
      </c>
      <c r="Z6" t="e">
        <f>AND('MATRIX - Case Level'!D59,"AAAAAFf/bxk=")</f>
        <v>#VALUE!</v>
      </c>
      <c r="AA6" t="e">
        <f>AND('MATRIX - Case Level'!E59,"AAAAAFf/bxo=")</f>
        <v>#VALUE!</v>
      </c>
      <c r="AB6" t="e">
        <f>AND('MATRIX - Case Level'!F59,"AAAAAFf/bxs=")</f>
        <v>#VALUE!</v>
      </c>
      <c r="AC6" t="e">
        <f>AND('MATRIX - Case Level'!G59,"AAAAAFf/bxw=")</f>
        <v>#VALUE!</v>
      </c>
      <c r="AD6" t="e">
        <f>AND('MATRIX - Case Level'!H59,"AAAAAFf/bx0=")</f>
        <v>#VALUE!</v>
      </c>
      <c r="AE6" t="e">
        <f>AND('MATRIX - Case Level'!I59,"AAAAAFf/bx4=")</f>
        <v>#VALUE!</v>
      </c>
      <c r="AF6" t="e">
        <f>AND('MATRIX - Case Level'!J59,"AAAAAFf/bx8=")</f>
        <v>#VALUE!</v>
      </c>
      <c r="AG6" t="e">
        <f>AND('MATRIX - Case Level'!K59,"AAAAAFf/byA=")</f>
        <v>#VALUE!</v>
      </c>
      <c r="AH6" t="e">
        <f>AND('MATRIX - Case Level'!L59,"AAAAAFf/byE=")</f>
        <v>#VALUE!</v>
      </c>
      <c r="AI6" t="e">
        <f>AND('MATRIX - Case Level'!#REF!,"AAAAAFf/byI=")</f>
        <v>#REF!</v>
      </c>
      <c r="AJ6" t="e">
        <f>AND('MATRIX - Case Level'!O59,"AAAAAFf/byM=")</f>
        <v>#VALUE!</v>
      </c>
      <c r="AK6" t="e">
        <f>AND('MATRIX - Case Level'!P59,"AAAAAFf/byQ=")</f>
        <v>#VALUE!</v>
      </c>
      <c r="AL6" t="e">
        <f>AND('MATRIX - Case Level'!Q59,"AAAAAFf/byU=")</f>
        <v>#VALUE!</v>
      </c>
      <c r="AM6" t="e">
        <f>AND('MATRIX - Case Level'!#REF!,"AAAAAFf/byY=")</f>
        <v>#REF!</v>
      </c>
      <c r="AN6" t="e">
        <f>AND('MATRIX - Case Level'!#REF!,"AAAAAFf/byc=")</f>
        <v>#REF!</v>
      </c>
      <c r="AO6">
        <f>IF('MATRIX - Case Level'!60:60,"AAAAAFf/byg=",0)</f>
        <v>0</v>
      </c>
      <c r="AP6" t="e">
        <f>AND('MATRIX - Case Level'!A60,"AAAAAFf/byk=")</f>
        <v>#VALUE!</v>
      </c>
      <c r="AQ6" t="e">
        <f>AND('MATRIX - Case Level'!B60,"AAAAAFf/byo=")</f>
        <v>#VALUE!</v>
      </c>
      <c r="AR6" t="e">
        <f>AND('MATRIX - Case Level'!C60,"AAAAAFf/bys=")</f>
        <v>#VALUE!</v>
      </c>
      <c r="AS6" t="e">
        <f>AND('MATRIX - Case Level'!#REF!,"AAAAAFf/byw=")</f>
        <v>#REF!</v>
      </c>
      <c r="AT6" t="e">
        <f>AND('MATRIX - Case Level'!D60,"AAAAAFf/by0=")</f>
        <v>#VALUE!</v>
      </c>
      <c r="AU6" t="e">
        <f>AND('MATRIX - Case Level'!E60,"AAAAAFf/by4=")</f>
        <v>#VALUE!</v>
      </c>
      <c r="AV6" t="e">
        <f>AND('MATRIX - Case Level'!F60,"AAAAAFf/by8=")</f>
        <v>#VALUE!</v>
      </c>
      <c r="AW6" t="e">
        <f>AND('MATRIX - Case Level'!G60,"AAAAAFf/bzA=")</f>
        <v>#VALUE!</v>
      </c>
      <c r="AX6" t="e">
        <f>AND('MATRIX - Case Level'!H60,"AAAAAFf/bzE=")</f>
        <v>#VALUE!</v>
      </c>
      <c r="AY6" t="e">
        <f>AND('MATRIX - Case Level'!I60,"AAAAAFf/bzI=")</f>
        <v>#VALUE!</v>
      </c>
      <c r="AZ6" t="e">
        <f>AND('MATRIX - Case Level'!J60,"AAAAAFf/bzM=")</f>
        <v>#VALUE!</v>
      </c>
      <c r="BA6" t="e">
        <f>AND('MATRIX - Case Level'!K60,"AAAAAFf/bzQ=")</f>
        <v>#VALUE!</v>
      </c>
      <c r="BB6" t="e">
        <f>AND('MATRIX - Case Level'!L60,"AAAAAFf/bzU=")</f>
        <v>#VALUE!</v>
      </c>
      <c r="BC6" t="e">
        <f>AND('MATRIX - Case Level'!#REF!,"AAAAAFf/bzY=")</f>
        <v>#REF!</v>
      </c>
      <c r="BD6" t="e">
        <f>AND('MATRIX - Case Level'!O60,"AAAAAFf/bzc=")</f>
        <v>#VALUE!</v>
      </c>
      <c r="BE6" t="e">
        <f>AND('MATRIX - Case Level'!P60,"AAAAAFf/bzg=")</f>
        <v>#VALUE!</v>
      </c>
      <c r="BF6" t="e">
        <f>AND('MATRIX - Case Level'!Q60,"AAAAAFf/bzk=")</f>
        <v>#VALUE!</v>
      </c>
      <c r="BG6" t="e">
        <f>AND('MATRIX - Case Level'!#REF!,"AAAAAFf/bzo=")</f>
        <v>#REF!</v>
      </c>
      <c r="BH6" t="e">
        <f>AND('MATRIX - Case Level'!#REF!,"AAAAAFf/bzs=")</f>
        <v>#REF!</v>
      </c>
      <c r="BI6">
        <f>IF('MATRIX - Case Level'!61:61,"AAAAAFf/bzw=",0)</f>
        <v>0</v>
      </c>
      <c r="BJ6" t="e">
        <f>AND('MATRIX - Case Level'!A61,"AAAAAFf/bz0=")</f>
        <v>#VALUE!</v>
      </c>
      <c r="BK6" t="e">
        <f>AND('MATRIX - Case Level'!B61,"AAAAAFf/bz4=")</f>
        <v>#VALUE!</v>
      </c>
      <c r="BL6" t="e">
        <f>AND('MATRIX - Case Level'!C61,"AAAAAFf/bz8=")</f>
        <v>#VALUE!</v>
      </c>
      <c r="BM6" t="e">
        <f>AND('MATRIX - Case Level'!#REF!,"AAAAAFf/b0A=")</f>
        <v>#REF!</v>
      </c>
      <c r="BN6" t="e">
        <f>AND('MATRIX - Case Level'!D61,"AAAAAFf/b0E=")</f>
        <v>#VALUE!</v>
      </c>
      <c r="BO6" t="e">
        <f>AND('MATRIX - Case Level'!E61,"AAAAAFf/b0I=")</f>
        <v>#VALUE!</v>
      </c>
      <c r="BP6" t="e">
        <f>AND('MATRIX - Case Level'!F61,"AAAAAFf/b0M=")</f>
        <v>#VALUE!</v>
      </c>
      <c r="BQ6" t="e">
        <f>AND('MATRIX - Case Level'!G61,"AAAAAFf/b0Q=")</f>
        <v>#VALUE!</v>
      </c>
      <c r="BR6" t="e">
        <f>AND('MATRIX - Case Level'!H61,"AAAAAFf/b0U=")</f>
        <v>#VALUE!</v>
      </c>
      <c r="BS6" t="e">
        <f>AND('MATRIX - Case Level'!I61,"AAAAAFf/b0Y=")</f>
        <v>#VALUE!</v>
      </c>
      <c r="BT6" t="e">
        <f>AND('MATRIX - Case Level'!J61,"AAAAAFf/b0c=")</f>
        <v>#VALUE!</v>
      </c>
      <c r="BU6" t="e">
        <f>AND('MATRIX - Case Level'!K61,"AAAAAFf/b0g=")</f>
        <v>#VALUE!</v>
      </c>
      <c r="BV6" t="e">
        <f>AND('MATRIX - Case Level'!L61,"AAAAAFf/b0k=")</f>
        <v>#VALUE!</v>
      </c>
      <c r="BW6" t="e">
        <f>AND('MATRIX - Case Level'!#REF!,"AAAAAFf/b0o=")</f>
        <v>#REF!</v>
      </c>
      <c r="BX6" t="e">
        <f>AND('MATRIX - Case Level'!O61,"AAAAAFf/b0s=")</f>
        <v>#VALUE!</v>
      </c>
      <c r="BY6" t="e">
        <f>AND('MATRIX - Case Level'!P61,"AAAAAFf/b0w=")</f>
        <v>#VALUE!</v>
      </c>
      <c r="BZ6" t="e">
        <f>AND('MATRIX - Case Level'!Q61,"AAAAAFf/b00=")</f>
        <v>#VALUE!</v>
      </c>
      <c r="CA6" t="e">
        <f>AND('MATRIX - Case Level'!#REF!,"AAAAAFf/b04=")</f>
        <v>#REF!</v>
      </c>
      <c r="CB6" t="e">
        <f>AND('MATRIX - Case Level'!#REF!,"AAAAAFf/b08=")</f>
        <v>#REF!</v>
      </c>
      <c r="CC6" t="e">
        <f>IF('MATRIX - Case Level'!#REF!,"AAAAAFf/b1A=",0)</f>
        <v>#REF!</v>
      </c>
      <c r="CD6" t="e">
        <f>AND('MATRIX - Case Level'!#REF!,"AAAAAFf/b1E=")</f>
        <v>#REF!</v>
      </c>
      <c r="CE6" t="e">
        <f>AND('MATRIX - Case Level'!#REF!,"AAAAAFf/b1I=")</f>
        <v>#REF!</v>
      </c>
      <c r="CF6" t="e">
        <f>AND('MATRIX - Case Level'!#REF!,"AAAAAFf/b1M=")</f>
        <v>#REF!</v>
      </c>
      <c r="CG6" t="e">
        <f>AND('MATRIX - Case Level'!#REF!,"AAAAAFf/b1Q=")</f>
        <v>#REF!</v>
      </c>
      <c r="CH6" t="e">
        <f>AND('MATRIX - Case Level'!#REF!,"AAAAAFf/b1U=")</f>
        <v>#REF!</v>
      </c>
      <c r="CI6" t="e">
        <f>AND('MATRIX - Case Level'!#REF!,"AAAAAFf/b1Y=")</f>
        <v>#REF!</v>
      </c>
      <c r="CJ6" t="e">
        <f>AND('MATRIX - Case Level'!#REF!,"AAAAAFf/b1c=")</f>
        <v>#REF!</v>
      </c>
      <c r="CK6" t="e">
        <f>AND('MATRIX - Case Level'!#REF!,"AAAAAFf/b1g=")</f>
        <v>#REF!</v>
      </c>
      <c r="CL6" t="e">
        <f>AND('MATRIX - Case Level'!#REF!,"AAAAAFf/b1k=")</f>
        <v>#REF!</v>
      </c>
      <c r="CM6" t="e">
        <f>AND('MATRIX - Case Level'!#REF!,"AAAAAFf/b1o=")</f>
        <v>#REF!</v>
      </c>
      <c r="CN6" t="e">
        <f>AND('MATRIX - Case Level'!#REF!,"AAAAAFf/b1s=")</f>
        <v>#REF!</v>
      </c>
      <c r="CO6" t="e">
        <f>AND('MATRIX - Case Level'!#REF!,"AAAAAFf/b1w=")</f>
        <v>#REF!</v>
      </c>
      <c r="CP6" t="e">
        <f>AND('MATRIX - Case Level'!#REF!,"AAAAAFf/b10=")</f>
        <v>#REF!</v>
      </c>
      <c r="CQ6" t="e">
        <f>AND('MATRIX - Case Level'!#REF!,"AAAAAFf/b14=")</f>
        <v>#REF!</v>
      </c>
      <c r="CR6" t="e">
        <f>AND('MATRIX - Case Level'!#REF!,"AAAAAFf/b18=")</f>
        <v>#REF!</v>
      </c>
      <c r="CS6" t="e">
        <f>AND('MATRIX - Case Level'!#REF!,"AAAAAFf/b2A=")</f>
        <v>#REF!</v>
      </c>
      <c r="CT6" t="e">
        <f>AND('MATRIX - Case Level'!#REF!,"AAAAAFf/b2E=")</f>
        <v>#REF!</v>
      </c>
      <c r="CU6" t="e">
        <f>AND('MATRIX - Case Level'!#REF!,"AAAAAFf/b2I=")</f>
        <v>#REF!</v>
      </c>
      <c r="CV6" t="e">
        <f>AND('MATRIX - Case Level'!#REF!,"AAAAAFf/b2M=")</f>
        <v>#REF!</v>
      </c>
      <c r="CW6">
        <f>IF('MATRIX - Case Level'!62:62,"AAAAAFf/b2Q=",0)</f>
        <v>0</v>
      </c>
      <c r="CX6" t="e">
        <f>AND('MATRIX - Case Level'!A62,"AAAAAFf/b2U=")</f>
        <v>#VALUE!</v>
      </c>
      <c r="CY6" t="e">
        <f>AND('MATRIX - Case Level'!B62,"AAAAAFf/b2Y=")</f>
        <v>#VALUE!</v>
      </c>
      <c r="CZ6" t="e">
        <f>AND('MATRIX - Case Level'!C62,"AAAAAFf/b2c=")</f>
        <v>#VALUE!</v>
      </c>
      <c r="DA6" t="e">
        <f>AND('MATRIX - Case Level'!#REF!,"AAAAAFf/b2g=")</f>
        <v>#REF!</v>
      </c>
      <c r="DB6" t="e">
        <f>AND('MATRIX - Case Level'!D62,"AAAAAFf/b2k=")</f>
        <v>#VALUE!</v>
      </c>
      <c r="DC6" t="e">
        <f>AND('MATRIX - Case Level'!E62,"AAAAAFf/b2o=")</f>
        <v>#VALUE!</v>
      </c>
      <c r="DD6" t="e">
        <f>AND('MATRIX - Case Level'!F62,"AAAAAFf/b2s=")</f>
        <v>#VALUE!</v>
      </c>
      <c r="DE6" t="e">
        <f>AND('MATRIX - Case Level'!G62,"AAAAAFf/b2w=")</f>
        <v>#VALUE!</v>
      </c>
      <c r="DF6" t="e">
        <f>AND('MATRIX - Case Level'!H62,"AAAAAFf/b20=")</f>
        <v>#VALUE!</v>
      </c>
      <c r="DG6" t="e">
        <f>AND('MATRIX - Case Level'!I62,"AAAAAFf/b24=")</f>
        <v>#VALUE!</v>
      </c>
      <c r="DH6" t="e">
        <f>AND('MATRIX - Case Level'!J62,"AAAAAFf/b28=")</f>
        <v>#VALUE!</v>
      </c>
      <c r="DI6" t="e">
        <f>AND('MATRIX - Case Level'!K62,"AAAAAFf/b3A=")</f>
        <v>#VALUE!</v>
      </c>
      <c r="DJ6" t="e">
        <f>AND('MATRIX - Case Level'!L62,"AAAAAFf/b3E=")</f>
        <v>#VALUE!</v>
      </c>
      <c r="DK6" t="e">
        <f>AND('MATRIX - Case Level'!#REF!,"AAAAAFf/b3I=")</f>
        <v>#REF!</v>
      </c>
      <c r="DL6" t="e">
        <f>AND('MATRIX - Case Level'!O62,"AAAAAFf/b3M=")</f>
        <v>#VALUE!</v>
      </c>
      <c r="DM6" t="e">
        <f>AND('MATRIX - Case Level'!P62,"AAAAAFf/b3Q=")</f>
        <v>#VALUE!</v>
      </c>
      <c r="DN6" t="e">
        <f>AND('MATRIX - Case Level'!Q62,"AAAAAFf/b3U=")</f>
        <v>#VALUE!</v>
      </c>
      <c r="DO6" t="e">
        <f>AND('MATRIX - Case Level'!#REF!,"AAAAAFf/b3Y=")</f>
        <v>#REF!</v>
      </c>
      <c r="DP6" t="e">
        <f>AND('MATRIX - Case Level'!#REF!,"AAAAAFf/b3c=")</f>
        <v>#REF!</v>
      </c>
      <c r="DQ6">
        <f>IF('MATRIX - Case Level'!64:64,"AAAAAFf/b3g=",0)</f>
        <v>0</v>
      </c>
      <c r="DR6" t="e">
        <f>AND('MATRIX - Case Level'!A64,"AAAAAFf/b3k=")</f>
        <v>#VALUE!</v>
      </c>
      <c r="DS6" t="e">
        <f>AND('MATRIX - Case Level'!B64,"AAAAAFf/b3o=")</f>
        <v>#VALUE!</v>
      </c>
      <c r="DT6" t="e">
        <f>AND('MATRIX - Case Level'!C64,"AAAAAFf/b3s=")</f>
        <v>#VALUE!</v>
      </c>
      <c r="DU6" t="e">
        <f>AND('MATRIX - Case Level'!#REF!,"AAAAAFf/b3w=")</f>
        <v>#REF!</v>
      </c>
      <c r="DV6" t="e">
        <f>AND('MATRIX - Case Level'!D64,"AAAAAFf/b30=")</f>
        <v>#VALUE!</v>
      </c>
      <c r="DW6" t="e">
        <f>AND('MATRIX - Case Level'!E64,"AAAAAFf/b34=")</f>
        <v>#VALUE!</v>
      </c>
      <c r="DX6" t="e">
        <f>AND('MATRIX - Case Level'!F64,"AAAAAFf/b38=")</f>
        <v>#VALUE!</v>
      </c>
      <c r="DY6" t="e">
        <f>AND('MATRIX - Case Level'!G64,"AAAAAFf/b4A=")</f>
        <v>#VALUE!</v>
      </c>
      <c r="DZ6" t="e">
        <f>AND('MATRIX - Case Level'!H64,"AAAAAFf/b4E=")</f>
        <v>#VALUE!</v>
      </c>
      <c r="EA6" t="e">
        <f>AND('MATRIX - Case Level'!I64,"AAAAAFf/b4I=")</f>
        <v>#VALUE!</v>
      </c>
      <c r="EB6" t="e">
        <f>AND('MATRIX - Case Level'!J64,"AAAAAFf/b4M=")</f>
        <v>#VALUE!</v>
      </c>
      <c r="EC6" t="e">
        <f>AND('MATRIX - Case Level'!K64,"AAAAAFf/b4Q=")</f>
        <v>#VALUE!</v>
      </c>
      <c r="ED6" t="e">
        <f>AND('MATRIX - Case Level'!L64,"AAAAAFf/b4U=")</f>
        <v>#VALUE!</v>
      </c>
      <c r="EE6" t="e">
        <f>AND('MATRIX - Case Level'!#REF!,"AAAAAFf/b4Y=")</f>
        <v>#REF!</v>
      </c>
      <c r="EF6" t="e">
        <f>AND('MATRIX - Case Level'!O64,"AAAAAFf/b4c=")</f>
        <v>#VALUE!</v>
      </c>
      <c r="EG6" t="e">
        <f>AND('MATRIX - Case Level'!P64,"AAAAAFf/b4g=")</f>
        <v>#VALUE!</v>
      </c>
      <c r="EH6" t="e">
        <f>AND('MATRIX - Case Level'!Q64,"AAAAAFf/b4k=")</f>
        <v>#VALUE!</v>
      </c>
      <c r="EI6" t="e">
        <f>AND('MATRIX - Case Level'!#REF!,"AAAAAFf/b4o=")</f>
        <v>#REF!</v>
      </c>
      <c r="EJ6" t="e">
        <f>AND('MATRIX - Case Level'!#REF!,"AAAAAFf/b4s=")</f>
        <v>#REF!</v>
      </c>
      <c r="EK6">
        <f>IF('MATRIX - Case Level'!65:65,"AAAAAFf/b4w=",0)</f>
        <v>0</v>
      </c>
      <c r="EL6" t="e">
        <f>AND('MATRIX - Case Level'!A65,"AAAAAFf/b40=")</f>
        <v>#VALUE!</v>
      </c>
      <c r="EM6" t="e">
        <f>AND('MATRIX - Case Level'!B65,"AAAAAFf/b44=")</f>
        <v>#VALUE!</v>
      </c>
      <c r="EN6" t="e">
        <f>AND('MATRIX - Case Level'!C65,"AAAAAFf/b48=")</f>
        <v>#VALUE!</v>
      </c>
      <c r="EO6" t="e">
        <f>AND('MATRIX - Case Level'!#REF!,"AAAAAFf/b5A=")</f>
        <v>#REF!</v>
      </c>
      <c r="EP6" t="e">
        <f>AND('MATRIX - Case Level'!D65,"AAAAAFf/b5E=")</f>
        <v>#VALUE!</v>
      </c>
      <c r="EQ6" t="e">
        <f>AND('MATRIX - Case Level'!E65,"AAAAAFf/b5I=")</f>
        <v>#VALUE!</v>
      </c>
      <c r="ER6" t="e">
        <f>AND('MATRIX - Case Level'!F65,"AAAAAFf/b5M=")</f>
        <v>#VALUE!</v>
      </c>
      <c r="ES6" t="e">
        <f>AND('MATRIX - Case Level'!G65,"AAAAAFf/b5Q=")</f>
        <v>#VALUE!</v>
      </c>
      <c r="ET6" t="e">
        <f>AND('MATRIX - Case Level'!H65,"AAAAAFf/b5U=")</f>
        <v>#VALUE!</v>
      </c>
      <c r="EU6" t="e">
        <f>AND('MATRIX - Case Level'!I65,"AAAAAFf/b5Y=")</f>
        <v>#VALUE!</v>
      </c>
      <c r="EV6" t="e">
        <f>AND('MATRIX - Case Level'!J65,"AAAAAFf/b5c=")</f>
        <v>#VALUE!</v>
      </c>
      <c r="EW6" t="e">
        <f>AND('MATRIX - Case Level'!K65,"AAAAAFf/b5g=")</f>
        <v>#VALUE!</v>
      </c>
      <c r="EX6" t="e">
        <f>AND('MATRIX - Case Level'!L65,"AAAAAFf/b5k=")</f>
        <v>#VALUE!</v>
      </c>
      <c r="EY6" t="e">
        <f>AND('MATRIX - Case Level'!#REF!,"AAAAAFf/b5o=")</f>
        <v>#REF!</v>
      </c>
      <c r="EZ6" t="e">
        <f>AND('MATRIX - Case Level'!O65,"AAAAAFf/b5s=")</f>
        <v>#VALUE!</v>
      </c>
      <c r="FA6" t="e">
        <f>AND('MATRIX - Case Level'!P65,"AAAAAFf/b5w=")</f>
        <v>#VALUE!</v>
      </c>
      <c r="FB6" t="e">
        <f>AND('MATRIX - Case Level'!Q65,"AAAAAFf/b50=")</f>
        <v>#VALUE!</v>
      </c>
      <c r="FC6" t="e">
        <f>AND('MATRIX - Case Level'!#REF!,"AAAAAFf/b54=")</f>
        <v>#REF!</v>
      </c>
      <c r="FD6" t="e">
        <f>AND('MATRIX - Case Level'!#REF!,"AAAAAFf/b58=")</f>
        <v>#REF!</v>
      </c>
      <c r="FE6">
        <f>IF('MATRIX - Case Level'!66:66,"AAAAAFf/b6A=",0)</f>
        <v>0</v>
      </c>
      <c r="FF6" t="e">
        <f>AND('MATRIX - Case Level'!A66,"AAAAAFf/b6E=")</f>
        <v>#VALUE!</v>
      </c>
      <c r="FG6" t="e">
        <f>AND('MATRIX - Case Level'!B66,"AAAAAFf/b6I=")</f>
        <v>#VALUE!</v>
      </c>
      <c r="FH6" t="e">
        <f>AND('MATRIX - Case Level'!C66,"AAAAAFf/b6M=")</f>
        <v>#VALUE!</v>
      </c>
      <c r="FI6" t="e">
        <f>AND('MATRIX - Case Level'!#REF!,"AAAAAFf/b6Q=")</f>
        <v>#REF!</v>
      </c>
      <c r="FJ6" t="e">
        <f>AND('MATRIX - Case Level'!D66,"AAAAAFf/b6U=")</f>
        <v>#VALUE!</v>
      </c>
      <c r="FK6" t="e">
        <f>AND('MATRIX - Case Level'!E66,"AAAAAFf/b6Y=")</f>
        <v>#VALUE!</v>
      </c>
      <c r="FL6" t="e">
        <f>AND('MATRIX - Case Level'!F66,"AAAAAFf/b6c=")</f>
        <v>#VALUE!</v>
      </c>
      <c r="FM6" t="e">
        <f>AND('MATRIX - Case Level'!G66,"AAAAAFf/b6g=")</f>
        <v>#VALUE!</v>
      </c>
      <c r="FN6" t="e">
        <f>AND('MATRIX - Case Level'!H66,"AAAAAFf/b6k=")</f>
        <v>#VALUE!</v>
      </c>
      <c r="FO6" t="e">
        <f>AND('MATRIX - Case Level'!I66,"AAAAAFf/b6o=")</f>
        <v>#VALUE!</v>
      </c>
      <c r="FP6" t="e">
        <f>AND('MATRIX - Case Level'!J66,"AAAAAFf/b6s=")</f>
        <v>#VALUE!</v>
      </c>
      <c r="FQ6" t="e">
        <f>AND('MATRIX - Case Level'!K66,"AAAAAFf/b6w=")</f>
        <v>#VALUE!</v>
      </c>
      <c r="FR6" t="e">
        <f>AND('MATRIX - Case Level'!L66,"AAAAAFf/b60=")</f>
        <v>#VALUE!</v>
      </c>
      <c r="FS6" t="e">
        <f>AND('MATRIX - Case Level'!#REF!,"AAAAAFf/b64=")</f>
        <v>#REF!</v>
      </c>
      <c r="FT6" t="e">
        <f>AND('MATRIX - Case Level'!O66,"AAAAAFf/b68=")</f>
        <v>#VALUE!</v>
      </c>
      <c r="FU6" t="e">
        <f>AND('MATRIX - Case Level'!P66,"AAAAAFf/b7A=")</f>
        <v>#VALUE!</v>
      </c>
      <c r="FV6" t="e">
        <f>AND('MATRIX - Case Level'!Q66,"AAAAAFf/b7E=")</f>
        <v>#VALUE!</v>
      </c>
      <c r="FW6" t="e">
        <f>AND('MATRIX - Case Level'!#REF!,"AAAAAFf/b7I=")</f>
        <v>#REF!</v>
      </c>
      <c r="FX6" t="e">
        <f>AND('MATRIX - Case Level'!#REF!,"AAAAAFf/b7M=")</f>
        <v>#REF!</v>
      </c>
      <c r="FY6">
        <f>IF('MATRIX - Case Level'!67:67,"AAAAAFf/b7Q=",0)</f>
        <v>0</v>
      </c>
      <c r="FZ6" t="e">
        <f>AND('MATRIX - Case Level'!A67,"AAAAAFf/b7U=")</f>
        <v>#VALUE!</v>
      </c>
      <c r="GA6" t="e">
        <f>AND('MATRIX - Case Level'!B67,"AAAAAFf/b7Y=")</f>
        <v>#VALUE!</v>
      </c>
      <c r="GB6" t="e">
        <f>AND('MATRIX - Case Level'!C67,"AAAAAFf/b7c=")</f>
        <v>#VALUE!</v>
      </c>
      <c r="GC6" t="e">
        <f>AND('MATRIX - Case Level'!#REF!,"AAAAAFf/b7g=")</f>
        <v>#REF!</v>
      </c>
      <c r="GD6" t="e">
        <f>AND('MATRIX - Case Level'!D67,"AAAAAFf/b7k=")</f>
        <v>#VALUE!</v>
      </c>
      <c r="GE6" t="e">
        <f>AND('MATRIX - Case Level'!E67,"AAAAAFf/b7o=")</f>
        <v>#VALUE!</v>
      </c>
      <c r="GF6" t="e">
        <f>AND('MATRIX - Case Level'!F67,"AAAAAFf/b7s=")</f>
        <v>#VALUE!</v>
      </c>
      <c r="GG6" t="e">
        <f>AND('MATRIX - Case Level'!G67,"AAAAAFf/b7w=")</f>
        <v>#VALUE!</v>
      </c>
      <c r="GH6" t="e">
        <f>AND('MATRIX - Case Level'!H67,"AAAAAFf/b70=")</f>
        <v>#VALUE!</v>
      </c>
      <c r="GI6" t="e">
        <f>AND('MATRIX - Case Level'!I67,"AAAAAFf/b74=")</f>
        <v>#VALUE!</v>
      </c>
      <c r="GJ6" t="e">
        <f>AND('MATRIX - Case Level'!J67,"AAAAAFf/b78=")</f>
        <v>#VALUE!</v>
      </c>
      <c r="GK6" t="e">
        <f>AND('MATRIX - Case Level'!K67,"AAAAAFf/b8A=")</f>
        <v>#VALUE!</v>
      </c>
      <c r="GL6" t="e">
        <f>AND('MATRIX - Case Level'!L67,"AAAAAFf/b8E=")</f>
        <v>#VALUE!</v>
      </c>
      <c r="GM6" t="e">
        <f>AND('MATRIX - Case Level'!#REF!,"AAAAAFf/b8I=")</f>
        <v>#REF!</v>
      </c>
      <c r="GN6" t="e">
        <f>AND('MATRIX - Case Level'!O67,"AAAAAFf/b8M=")</f>
        <v>#VALUE!</v>
      </c>
      <c r="GO6" t="e">
        <f>AND('MATRIX - Case Level'!P67,"AAAAAFf/b8Q=")</f>
        <v>#VALUE!</v>
      </c>
      <c r="GP6" t="e">
        <f>AND('MATRIX - Case Level'!Q67,"AAAAAFf/b8U=")</f>
        <v>#VALUE!</v>
      </c>
      <c r="GQ6" t="e">
        <f>AND('MATRIX - Case Level'!#REF!,"AAAAAFf/b8Y=")</f>
        <v>#REF!</v>
      </c>
      <c r="GR6" t="e">
        <f>AND('MATRIX - Case Level'!#REF!,"AAAAAFf/b8c=")</f>
        <v>#REF!</v>
      </c>
      <c r="GS6">
        <f>IF('MATRIX - Case Level'!68:68,"AAAAAFf/b8g=",0)</f>
        <v>0</v>
      </c>
      <c r="GT6" t="e">
        <f>AND('MATRIX - Case Level'!A68,"AAAAAFf/b8k=")</f>
        <v>#VALUE!</v>
      </c>
      <c r="GU6" t="e">
        <f>AND('MATRIX - Case Level'!B68,"AAAAAFf/b8o=")</f>
        <v>#VALUE!</v>
      </c>
      <c r="GV6" t="e">
        <f>AND('MATRIX - Case Level'!C68,"AAAAAFf/b8s=")</f>
        <v>#VALUE!</v>
      </c>
      <c r="GW6" t="e">
        <f>AND('MATRIX - Case Level'!#REF!,"AAAAAFf/b8w=")</f>
        <v>#REF!</v>
      </c>
      <c r="GX6" t="e">
        <f>AND('MATRIX - Case Level'!D68,"AAAAAFf/b80=")</f>
        <v>#VALUE!</v>
      </c>
      <c r="GY6" t="e">
        <f>AND('MATRIX - Case Level'!E68,"AAAAAFf/b84=")</f>
        <v>#VALUE!</v>
      </c>
      <c r="GZ6" t="e">
        <f>AND('MATRIX - Case Level'!F68,"AAAAAFf/b88=")</f>
        <v>#VALUE!</v>
      </c>
      <c r="HA6" t="e">
        <f>AND('MATRIX - Case Level'!G68,"AAAAAFf/b9A=")</f>
        <v>#VALUE!</v>
      </c>
      <c r="HB6" t="e">
        <f>AND('MATRIX - Case Level'!H68,"AAAAAFf/b9E=")</f>
        <v>#VALUE!</v>
      </c>
      <c r="HC6" t="e">
        <f>AND('MATRIX - Case Level'!I68,"AAAAAFf/b9I=")</f>
        <v>#VALUE!</v>
      </c>
      <c r="HD6" t="e">
        <f>AND('MATRIX - Case Level'!J68,"AAAAAFf/b9M=")</f>
        <v>#VALUE!</v>
      </c>
      <c r="HE6" t="e">
        <f>AND('MATRIX - Case Level'!K68,"AAAAAFf/b9Q=")</f>
        <v>#VALUE!</v>
      </c>
      <c r="HF6" t="e">
        <f>AND('MATRIX - Case Level'!L68,"AAAAAFf/b9U=")</f>
        <v>#VALUE!</v>
      </c>
      <c r="HG6" t="e">
        <f>AND('MATRIX - Case Level'!#REF!,"AAAAAFf/b9Y=")</f>
        <v>#REF!</v>
      </c>
      <c r="HH6" t="e">
        <f>AND('MATRIX - Case Level'!O68,"AAAAAFf/b9c=")</f>
        <v>#VALUE!</v>
      </c>
      <c r="HI6" t="e">
        <f>AND('MATRIX - Case Level'!P68,"AAAAAFf/b9g=")</f>
        <v>#VALUE!</v>
      </c>
      <c r="HJ6" t="e">
        <f>AND('MATRIX - Case Level'!Q68,"AAAAAFf/b9k=")</f>
        <v>#VALUE!</v>
      </c>
      <c r="HK6" t="e">
        <f>AND('MATRIX - Case Level'!#REF!,"AAAAAFf/b9o=")</f>
        <v>#REF!</v>
      </c>
      <c r="HL6" t="e">
        <f>AND('MATRIX - Case Level'!#REF!,"AAAAAFf/b9s=")</f>
        <v>#REF!</v>
      </c>
      <c r="HM6">
        <f>IF('MATRIX - Case Level'!69:69,"AAAAAFf/b9w=",0)</f>
        <v>0</v>
      </c>
      <c r="HN6" t="e">
        <f>AND('MATRIX - Case Level'!A69,"AAAAAFf/b90=")</f>
        <v>#VALUE!</v>
      </c>
      <c r="HO6" t="e">
        <f>AND('MATRIX - Case Level'!B69,"AAAAAFf/b94=")</f>
        <v>#VALUE!</v>
      </c>
      <c r="HP6" t="e">
        <f>AND('MATRIX - Case Level'!C69,"AAAAAFf/b98=")</f>
        <v>#VALUE!</v>
      </c>
      <c r="HQ6" t="e">
        <f>AND('MATRIX - Case Level'!#REF!,"AAAAAFf/b+A=")</f>
        <v>#REF!</v>
      </c>
      <c r="HR6" t="e">
        <f>AND('MATRIX - Case Level'!D69,"AAAAAFf/b+E=")</f>
        <v>#VALUE!</v>
      </c>
      <c r="HS6" t="e">
        <f>AND('MATRIX - Case Level'!E69,"AAAAAFf/b+I=")</f>
        <v>#VALUE!</v>
      </c>
      <c r="HT6" t="e">
        <f>AND('MATRIX - Case Level'!F69,"AAAAAFf/b+M=")</f>
        <v>#VALUE!</v>
      </c>
      <c r="HU6" t="e">
        <f>AND('MATRIX - Case Level'!G69,"AAAAAFf/b+Q=")</f>
        <v>#VALUE!</v>
      </c>
      <c r="HV6" t="e">
        <f>AND('MATRIX - Case Level'!H69,"AAAAAFf/b+U=")</f>
        <v>#VALUE!</v>
      </c>
      <c r="HW6" t="e">
        <f>AND('MATRIX - Case Level'!I69,"AAAAAFf/b+Y=")</f>
        <v>#VALUE!</v>
      </c>
      <c r="HX6" t="e">
        <f>AND('MATRIX - Case Level'!J69,"AAAAAFf/b+c=")</f>
        <v>#VALUE!</v>
      </c>
      <c r="HY6" t="e">
        <f>AND('MATRIX - Case Level'!K69,"AAAAAFf/b+g=")</f>
        <v>#VALUE!</v>
      </c>
      <c r="HZ6" t="e">
        <f>AND('MATRIX - Case Level'!L69,"AAAAAFf/b+k=")</f>
        <v>#VALUE!</v>
      </c>
      <c r="IA6" t="e">
        <f>AND('MATRIX - Case Level'!#REF!,"AAAAAFf/b+o=")</f>
        <v>#REF!</v>
      </c>
      <c r="IB6" t="e">
        <f>AND('MATRIX - Case Level'!O69,"AAAAAFf/b+s=")</f>
        <v>#VALUE!</v>
      </c>
      <c r="IC6" t="e">
        <f>AND('MATRIX - Case Level'!P69,"AAAAAFf/b+w=")</f>
        <v>#VALUE!</v>
      </c>
      <c r="ID6" t="e">
        <f>AND('MATRIX - Case Level'!Q69,"AAAAAFf/b+0=")</f>
        <v>#VALUE!</v>
      </c>
      <c r="IE6" t="e">
        <f>AND('MATRIX - Case Level'!#REF!,"AAAAAFf/b+4=")</f>
        <v>#REF!</v>
      </c>
      <c r="IF6" t="e">
        <f>AND('MATRIX - Case Level'!#REF!,"AAAAAFf/b+8=")</f>
        <v>#REF!</v>
      </c>
      <c r="IG6">
        <f>IF('MATRIX - Case Level'!70:70,"AAAAAFf/b/A=",0)</f>
        <v>0</v>
      </c>
      <c r="IH6" t="e">
        <f>AND('MATRIX - Case Level'!A70,"AAAAAFf/b/E=")</f>
        <v>#VALUE!</v>
      </c>
      <c r="II6" t="e">
        <f>AND('MATRIX - Case Level'!B70,"AAAAAFf/b/I=")</f>
        <v>#VALUE!</v>
      </c>
      <c r="IJ6" t="e">
        <f>AND('MATRIX - Case Level'!C70,"AAAAAFf/b/M=")</f>
        <v>#VALUE!</v>
      </c>
      <c r="IK6" t="e">
        <f>AND('MATRIX - Case Level'!#REF!,"AAAAAFf/b/Q=")</f>
        <v>#REF!</v>
      </c>
      <c r="IL6" t="e">
        <f>AND('MATRIX - Case Level'!D70,"AAAAAFf/b/U=")</f>
        <v>#VALUE!</v>
      </c>
      <c r="IM6" t="e">
        <f>AND('MATRIX - Case Level'!E70,"AAAAAFf/b/Y=")</f>
        <v>#VALUE!</v>
      </c>
      <c r="IN6" t="e">
        <f>AND('MATRIX - Case Level'!F70,"AAAAAFf/b/c=")</f>
        <v>#VALUE!</v>
      </c>
      <c r="IO6" t="e">
        <f>AND('MATRIX - Case Level'!G70,"AAAAAFf/b/g=")</f>
        <v>#VALUE!</v>
      </c>
      <c r="IP6" t="e">
        <f>AND('MATRIX - Case Level'!H70,"AAAAAFf/b/k=")</f>
        <v>#VALUE!</v>
      </c>
      <c r="IQ6" t="e">
        <f>AND('MATRIX - Case Level'!I70,"AAAAAFf/b/o=")</f>
        <v>#VALUE!</v>
      </c>
      <c r="IR6" t="e">
        <f>AND('MATRIX - Case Level'!J70,"AAAAAFf/b/s=")</f>
        <v>#VALUE!</v>
      </c>
      <c r="IS6" t="e">
        <f>AND('MATRIX - Case Level'!K70,"AAAAAFf/b/w=")</f>
        <v>#VALUE!</v>
      </c>
      <c r="IT6" t="e">
        <f>AND('MATRIX - Case Level'!L70,"AAAAAFf/b/0=")</f>
        <v>#VALUE!</v>
      </c>
      <c r="IU6" t="e">
        <f>AND('MATRIX - Case Level'!#REF!,"AAAAAFf/b/4=")</f>
        <v>#REF!</v>
      </c>
      <c r="IV6" t="e">
        <f>AND('MATRIX - Case Level'!O70,"AAAAAFf/b/8=")</f>
        <v>#VALUE!</v>
      </c>
    </row>
    <row r="7" spans="1:256" ht="12.75">
      <c r="A7" t="e">
        <f>AND('MATRIX - Case Level'!P70,"AAAAACn97wA=")</f>
        <v>#VALUE!</v>
      </c>
      <c r="B7" t="e">
        <f>AND('MATRIX - Case Level'!Q70,"AAAAACn97wE=")</f>
        <v>#VALUE!</v>
      </c>
      <c r="C7" t="e">
        <f>AND('MATRIX - Case Level'!#REF!,"AAAAACn97wI=")</f>
        <v>#REF!</v>
      </c>
      <c r="D7" t="e">
        <f>AND('MATRIX - Case Level'!#REF!,"AAAAACn97wM=")</f>
        <v>#REF!</v>
      </c>
      <c r="E7" t="e">
        <f>IF('MATRIX - Case Level'!71:71,"AAAAACn97wQ=",0)</f>
        <v>#VALUE!</v>
      </c>
      <c r="F7" t="e">
        <f>AND('MATRIX - Case Level'!A71,"AAAAACn97wU=")</f>
        <v>#VALUE!</v>
      </c>
      <c r="G7" t="e">
        <f>AND('MATRIX - Case Level'!B71,"AAAAACn97wY=")</f>
        <v>#VALUE!</v>
      </c>
      <c r="H7" t="e">
        <f>AND('MATRIX - Case Level'!C71,"AAAAACn97wc=")</f>
        <v>#VALUE!</v>
      </c>
      <c r="I7" t="e">
        <f>AND('MATRIX - Case Level'!#REF!,"AAAAACn97wg=")</f>
        <v>#REF!</v>
      </c>
      <c r="J7" t="e">
        <f>AND('MATRIX - Case Level'!D71,"AAAAACn97wk=")</f>
        <v>#VALUE!</v>
      </c>
      <c r="K7" t="e">
        <f>AND('MATRIX - Case Level'!E71,"AAAAACn97wo=")</f>
        <v>#VALUE!</v>
      </c>
      <c r="L7" t="e">
        <f>AND('MATRIX - Case Level'!F71,"AAAAACn97ws=")</f>
        <v>#VALUE!</v>
      </c>
      <c r="M7" t="e">
        <f>AND('MATRIX - Case Level'!G71,"AAAAACn97ww=")</f>
        <v>#VALUE!</v>
      </c>
      <c r="N7" t="e">
        <f>AND('MATRIX - Case Level'!H71,"AAAAACn97w0=")</f>
        <v>#VALUE!</v>
      </c>
      <c r="O7" t="e">
        <f>AND('MATRIX - Case Level'!I71,"AAAAACn97w4=")</f>
        <v>#VALUE!</v>
      </c>
      <c r="P7" t="e">
        <f>AND('MATRIX - Case Level'!J71,"AAAAACn97w8=")</f>
        <v>#VALUE!</v>
      </c>
      <c r="Q7" t="e">
        <f>AND('MATRIX - Case Level'!K71,"AAAAACn97xA=")</f>
        <v>#VALUE!</v>
      </c>
      <c r="R7" t="e">
        <f>AND('MATRIX - Case Level'!L71,"AAAAACn97xE=")</f>
        <v>#VALUE!</v>
      </c>
      <c r="S7" t="e">
        <f>AND('MATRIX - Case Level'!#REF!,"AAAAACn97xI=")</f>
        <v>#REF!</v>
      </c>
      <c r="T7" t="e">
        <f>AND('MATRIX - Case Level'!O71,"AAAAACn97xM=")</f>
        <v>#VALUE!</v>
      </c>
      <c r="U7" t="e">
        <f>AND('MATRIX - Case Level'!P71,"AAAAACn97xQ=")</f>
        <v>#VALUE!</v>
      </c>
      <c r="V7" t="e">
        <f>AND('MATRIX - Case Level'!Q71,"AAAAACn97xU=")</f>
        <v>#VALUE!</v>
      </c>
      <c r="W7" t="e">
        <f>AND('MATRIX - Case Level'!#REF!,"AAAAACn97xY=")</f>
        <v>#REF!</v>
      </c>
      <c r="X7" t="e">
        <f>AND('MATRIX - Case Level'!#REF!,"AAAAACn97xc=")</f>
        <v>#REF!</v>
      </c>
      <c r="Y7">
        <f>IF('MATRIX - Case Level'!72:72,"AAAAACn97xg=",0)</f>
        <v>0</v>
      </c>
      <c r="Z7" t="e">
        <f>AND('MATRIX - Case Level'!A72,"AAAAACn97xk=")</f>
        <v>#VALUE!</v>
      </c>
      <c r="AA7" t="e">
        <f>AND('MATRIX - Case Level'!B72,"AAAAACn97xo=")</f>
        <v>#VALUE!</v>
      </c>
      <c r="AB7" t="e">
        <f>AND('MATRIX - Case Level'!C72,"AAAAACn97xs=")</f>
        <v>#VALUE!</v>
      </c>
      <c r="AC7" t="e">
        <f>AND('MATRIX - Case Level'!#REF!,"AAAAACn97xw=")</f>
        <v>#REF!</v>
      </c>
      <c r="AD7" t="e">
        <f>AND('MATRIX - Case Level'!D72,"AAAAACn97x0=")</f>
        <v>#VALUE!</v>
      </c>
      <c r="AE7" t="e">
        <f>AND('MATRIX - Case Level'!E72,"AAAAACn97x4=")</f>
        <v>#VALUE!</v>
      </c>
      <c r="AF7" t="e">
        <f>AND('MATRIX - Case Level'!F72,"AAAAACn97x8=")</f>
        <v>#VALUE!</v>
      </c>
      <c r="AG7" t="e">
        <f>AND('MATRIX - Case Level'!G72,"AAAAACn97yA=")</f>
        <v>#VALUE!</v>
      </c>
      <c r="AH7" t="e">
        <f>AND('MATRIX - Case Level'!H72,"AAAAACn97yE=")</f>
        <v>#VALUE!</v>
      </c>
      <c r="AI7" t="e">
        <f>AND('MATRIX - Case Level'!I72,"AAAAACn97yI=")</f>
        <v>#VALUE!</v>
      </c>
      <c r="AJ7" t="e">
        <f>AND('MATRIX - Case Level'!J72,"AAAAACn97yM=")</f>
        <v>#VALUE!</v>
      </c>
      <c r="AK7" t="e">
        <f>AND('MATRIX - Case Level'!K72,"AAAAACn97yQ=")</f>
        <v>#VALUE!</v>
      </c>
      <c r="AL7" t="e">
        <f>AND('MATRIX - Case Level'!L72,"AAAAACn97yU=")</f>
        <v>#VALUE!</v>
      </c>
      <c r="AM7" t="e">
        <f>AND('MATRIX - Case Level'!#REF!,"AAAAACn97yY=")</f>
        <v>#REF!</v>
      </c>
      <c r="AN7" t="e">
        <f>AND('MATRIX - Case Level'!O72,"AAAAACn97yc=")</f>
        <v>#VALUE!</v>
      </c>
      <c r="AO7" t="e">
        <f>AND('MATRIX - Case Level'!P72,"AAAAACn97yg=")</f>
        <v>#VALUE!</v>
      </c>
      <c r="AP7" t="e">
        <f>AND('MATRIX - Case Level'!Q72,"AAAAACn97yk=")</f>
        <v>#VALUE!</v>
      </c>
      <c r="AQ7" t="e">
        <f>AND('MATRIX - Case Level'!#REF!,"AAAAACn97yo=")</f>
        <v>#REF!</v>
      </c>
      <c r="AR7" t="e">
        <f>AND('MATRIX - Case Level'!#REF!,"AAAAACn97ys=")</f>
        <v>#REF!</v>
      </c>
      <c r="AS7" t="e">
        <f>IF(#REF!,"AAAAACn97yw=",0)</f>
        <v>#REF!</v>
      </c>
      <c r="AT7" t="e">
        <f>AND(#REF!,"AAAAACn97y0=")</f>
        <v>#REF!</v>
      </c>
      <c r="AU7" t="e">
        <f>AND(#REF!,"AAAAACn97y4=")</f>
        <v>#REF!</v>
      </c>
      <c r="AV7" t="e">
        <f>AND(#REF!,"AAAAACn97y8=")</f>
        <v>#REF!</v>
      </c>
      <c r="AW7" t="e">
        <f>AND(#REF!,"AAAAACn97zA=")</f>
        <v>#REF!</v>
      </c>
      <c r="AX7" t="e">
        <f>AND(#REF!,"AAAAACn97zE=")</f>
        <v>#REF!</v>
      </c>
      <c r="AY7" t="e">
        <f>AND(#REF!,"AAAAACn97zI=")</f>
        <v>#REF!</v>
      </c>
      <c r="AZ7" t="e">
        <f>AND(#REF!,"AAAAACn97zM=")</f>
        <v>#REF!</v>
      </c>
      <c r="BA7" t="e">
        <f>AND(#REF!,"AAAAACn97zQ=")</f>
        <v>#REF!</v>
      </c>
      <c r="BB7" t="e">
        <f>AND(#REF!,"AAAAACn97zU=")</f>
        <v>#REF!</v>
      </c>
      <c r="BC7" t="e">
        <f>AND(#REF!,"AAAAACn97zY=")</f>
        <v>#REF!</v>
      </c>
      <c r="BD7" t="e">
        <f>AND(#REF!,"AAAAACn97zc=")</f>
        <v>#REF!</v>
      </c>
      <c r="BE7" t="e">
        <f>AND(#REF!,"AAAAACn97zg=")</f>
        <v>#REF!</v>
      </c>
      <c r="BF7" t="e">
        <f>AND(#REF!,"AAAAACn97zk=")</f>
        <v>#REF!</v>
      </c>
      <c r="BG7" t="e">
        <f>AND(#REF!,"AAAAACn97zo=")</f>
        <v>#REF!</v>
      </c>
      <c r="BH7" t="e">
        <f>AND(#REF!,"AAAAACn97zs=")</f>
        <v>#REF!</v>
      </c>
      <c r="BI7" t="e">
        <f>AND(#REF!,"AAAAACn97zw=")</f>
        <v>#REF!</v>
      </c>
      <c r="BJ7" t="e">
        <f>AND(#REF!,"AAAAACn97z0=")</f>
        <v>#REF!</v>
      </c>
      <c r="BK7" t="e">
        <f>AND(#REF!,"AAAAACn97z4=")</f>
        <v>#REF!</v>
      </c>
      <c r="BL7" t="e">
        <f>AND(#REF!,"AAAAACn97z8=")</f>
        <v>#REF!</v>
      </c>
      <c r="BM7" t="e">
        <f>IF(#REF!,"AAAAACn970A=",0)</f>
        <v>#REF!</v>
      </c>
      <c r="BN7" t="e">
        <f>AND(#REF!,"AAAAACn970E=")</f>
        <v>#REF!</v>
      </c>
      <c r="BO7" t="e">
        <f>AND(#REF!,"AAAAACn970I=")</f>
        <v>#REF!</v>
      </c>
      <c r="BP7" t="e">
        <f>AND(#REF!,"AAAAACn970M=")</f>
        <v>#REF!</v>
      </c>
      <c r="BQ7" t="e">
        <f>AND(#REF!,"AAAAACn970Q=")</f>
        <v>#REF!</v>
      </c>
      <c r="BR7" t="e">
        <f>AND(#REF!,"AAAAACn970U=")</f>
        <v>#REF!</v>
      </c>
      <c r="BS7" t="e">
        <f>AND(#REF!,"AAAAACn970Y=")</f>
        <v>#REF!</v>
      </c>
      <c r="BT7" t="e">
        <f>AND(#REF!,"AAAAACn970c=")</f>
        <v>#REF!</v>
      </c>
      <c r="BU7" t="e">
        <f>AND(#REF!,"AAAAACn970g=")</f>
        <v>#REF!</v>
      </c>
      <c r="BV7" t="e">
        <f>AND(#REF!,"AAAAACn970k=")</f>
        <v>#REF!</v>
      </c>
      <c r="BW7" t="e">
        <f>AND(#REF!,"AAAAACn970o=")</f>
        <v>#REF!</v>
      </c>
      <c r="BX7" t="e">
        <f>AND(#REF!,"AAAAACn970s=")</f>
        <v>#REF!</v>
      </c>
      <c r="BY7" t="e">
        <f>AND(#REF!,"AAAAACn970w=")</f>
        <v>#REF!</v>
      </c>
      <c r="BZ7" t="e">
        <f>AND(#REF!,"AAAAACn9700=")</f>
        <v>#REF!</v>
      </c>
      <c r="CA7" t="e">
        <f>AND(#REF!,"AAAAACn9704=")</f>
        <v>#REF!</v>
      </c>
      <c r="CB7" t="e">
        <f>AND(#REF!,"AAAAACn9708=")</f>
        <v>#REF!</v>
      </c>
      <c r="CC7" t="e">
        <f>AND(#REF!,"AAAAACn971A=")</f>
        <v>#REF!</v>
      </c>
      <c r="CD7" t="e">
        <f>AND(#REF!,"AAAAACn971E=")</f>
        <v>#REF!</v>
      </c>
      <c r="CE7" t="e">
        <f>AND(#REF!,"AAAAACn971I=")</f>
        <v>#REF!</v>
      </c>
      <c r="CF7" t="e">
        <f>AND(#REF!,"AAAAACn971M=")</f>
        <v>#REF!</v>
      </c>
      <c r="CG7" t="e">
        <f>IF(#REF!,"AAAAACn971Q=",0)</f>
        <v>#REF!</v>
      </c>
      <c r="CH7" t="e">
        <f>AND(#REF!,"AAAAACn971U=")</f>
        <v>#REF!</v>
      </c>
      <c r="CI7" t="e">
        <f>AND(#REF!,"AAAAACn971Y=")</f>
        <v>#REF!</v>
      </c>
      <c r="CJ7" t="e">
        <f>AND(#REF!,"AAAAACn971c=")</f>
        <v>#REF!</v>
      </c>
      <c r="CK7" t="e">
        <f>AND(#REF!,"AAAAACn971g=")</f>
        <v>#REF!</v>
      </c>
      <c r="CL7" t="e">
        <f>AND(#REF!,"AAAAACn971k=")</f>
        <v>#REF!</v>
      </c>
      <c r="CM7" t="e">
        <f>AND(#REF!,"AAAAACn971o=")</f>
        <v>#REF!</v>
      </c>
      <c r="CN7" t="e">
        <f>AND(#REF!,"AAAAACn971s=")</f>
        <v>#REF!</v>
      </c>
      <c r="CO7" t="e">
        <f>AND(#REF!,"AAAAACn971w=")</f>
        <v>#REF!</v>
      </c>
      <c r="CP7" t="e">
        <f>AND(#REF!,"AAAAACn9710=")</f>
        <v>#REF!</v>
      </c>
      <c r="CQ7" t="e">
        <f>AND(#REF!,"AAAAACn9714=")</f>
        <v>#REF!</v>
      </c>
      <c r="CR7" t="e">
        <f>AND(#REF!,"AAAAACn9718=")</f>
        <v>#REF!</v>
      </c>
      <c r="CS7" t="e">
        <f>AND(#REF!,"AAAAACn972A=")</f>
        <v>#REF!</v>
      </c>
      <c r="CT7" t="e">
        <f>AND(#REF!,"AAAAACn972E=")</f>
        <v>#REF!</v>
      </c>
      <c r="CU7" t="e">
        <f>AND(#REF!,"AAAAACn972I=")</f>
        <v>#REF!</v>
      </c>
      <c r="CV7" t="e">
        <f>AND(#REF!,"AAAAACn972M=")</f>
        <v>#REF!</v>
      </c>
      <c r="CW7" t="e">
        <f>AND(#REF!,"AAAAACn972Q=")</f>
        <v>#REF!</v>
      </c>
      <c r="CX7" t="e">
        <f>AND(#REF!,"AAAAACn972U=")</f>
        <v>#REF!</v>
      </c>
      <c r="CY7" t="e">
        <f>AND(#REF!,"AAAAACn972Y=")</f>
        <v>#REF!</v>
      </c>
      <c r="CZ7" t="e">
        <f>AND(#REF!,"AAAAACn972c=")</f>
        <v>#REF!</v>
      </c>
      <c r="DA7">
        <f>IF('MATRIX - Case Level'!73:73,"AAAAACn972g=",0)</f>
        <v>0</v>
      </c>
      <c r="DB7" t="e">
        <f>AND('MATRIX - Case Level'!A73,"AAAAACn972k=")</f>
        <v>#VALUE!</v>
      </c>
      <c r="DC7" t="e">
        <f>AND('MATRIX - Case Level'!B73,"AAAAACn972o=")</f>
        <v>#VALUE!</v>
      </c>
      <c r="DD7" t="e">
        <f>AND('MATRIX - Case Level'!C73,"AAAAACn972s=")</f>
        <v>#VALUE!</v>
      </c>
      <c r="DE7" t="e">
        <f>AND('MATRIX - Case Level'!#REF!,"AAAAACn972w=")</f>
        <v>#REF!</v>
      </c>
      <c r="DF7" t="e">
        <f>AND('MATRIX - Case Level'!D73,"AAAAACn9720=")</f>
        <v>#VALUE!</v>
      </c>
      <c r="DG7" t="e">
        <f>AND('MATRIX - Case Level'!E73,"AAAAACn9724=")</f>
        <v>#VALUE!</v>
      </c>
      <c r="DH7" t="e">
        <f>AND('MATRIX - Case Level'!F73,"AAAAACn9728=")</f>
        <v>#VALUE!</v>
      </c>
      <c r="DI7" t="e">
        <f>AND('MATRIX - Case Level'!G73,"AAAAACn973A=")</f>
        <v>#VALUE!</v>
      </c>
      <c r="DJ7" t="e">
        <f>AND('MATRIX - Case Level'!H73,"AAAAACn973E=")</f>
        <v>#VALUE!</v>
      </c>
      <c r="DK7" t="e">
        <f>AND('MATRIX - Case Level'!I73,"AAAAACn973I=")</f>
        <v>#VALUE!</v>
      </c>
      <c r="DL7" t="e">
        <f>AND('MATRIX - Case Level'!J73,"AAAAACn973M=")</f>
        <v>#VALUE!</v>
      </c>
      <c r="DM7" t="e">
        <f>AND('MATRIX - Case Level'!K73,"AAAAACn973Q=")</f>
        <v>#VALUE!</v>
      </c>
      <c r="DN7" t="e">
        <f>AND('MATRIX - Case Level'!L73,"AAAAACn973U=")</f>
        <v>#VALUE!</v>
      </c>
      <c r="DO7" t="e">
        <f>AND('MATRIX - Case Level'!#REF!,"AAAAACn973Y=")</f>
        <v>#REF!</v>
      </c>
      <c r="DP7" t="e">
        <f>AND('MATRIX - Case Level'!O73,"AAAAACn973c=")</f>
        <v>#VALUE!</v>
      </c>
      <c r="DQ7" t="e">
        <f>AND('MATRIX - Case Level'!P73,"AAAAACn973g=")</f>
        <v>#VALUE!</v>
      </c>
      <c r="DR7" t="e">
        <f>AND('MATRIX - Case Level'!Q73,"AAAAACn973k=")</f>
        <v>#VALUE!</v>
      </c>
      <c r="DS7" t="e">
        <f>AND('MATRIX - Case Level'!#REF!,"AAAAACn973o=")</f>
        <v>#REF!</v>
      </c>
      <c r="DT7" t="e">
        <f>AND('MATRIX - Case Level'!#REF!,"AAAAACn973s=")</f>
        <v>#REF!</v>
      </c>
      <c r="DU7">
        <f>IF('MATRIX - Case Level'!74:74,"AAAAACn973w=",0)</f>
        <v>0</v>
      </c>
      <c r="DV7" t="e">
        <f>AND('MATRIX - Case Level'!A74,"AAAAACn9730=")</f>
        <v>#VALUE!</v>
      </c>
      <c r="DW7" t="e">
        <f>AND('MATRIX - Case Level'!B74,"AAAAACn9734=")</f>
        <v>#VALUE!</v>
      </c>
      <c r="DX7" t="e">
        <f>AND('MATRIX - Case Level'!C74,"AAAAACn9738=")</f>
        <v>#VALUE!</v>
      </c>
      <c r="DY7" t="e">
        <f>AND('MATRIX - Case Level'!#REF!,"AAAAACn974A=")</f>
        <v>#REF!</v>
      </c>
      <c r="DZ7" t="e">
        <f>AND('MATRIX - Case Level'!D74,"AAAAACn974E=")</f>
        <v>#VALUE!</v>
      </c>
      <c r="EA7" t="e">
        <f>AND('MATRIX - Case Level'!E74,"AAAAACn974I=")</f>
        <v>#VALUE!</v>
      </c>
      <c r="EB7" t="e">
        <f>AND('MATRIX - Case Level'!F74,"AAAAACn974M=")</f>
        <v>#VALUE!</v>
      </c>
      <c r="EC7" t="e">
        <f>AND('MATRIX - Case Level'!G74,"AAAAACn974Q=")</f>
        <v>#VALUE!</v>
      </c>
      <c r="ED7" t="e">
        <f>AND('MATRIX - Case Level'!H74,"AAAAACn974U=")</f>
        <v>#VALUE!</v>
      </c>
      <c r="EE7" t="e">
        <f>AND('MATRIX - Case Level'!I74,"AAAAACn974Y=")</f>
        <v>#VALUE!</v>
      </c>
      <c r="EF7" t="e">
        <f>AND('MATRIX - Case Level'!J74,"AAAAACn974c=")</f>
        <v>#VALUE!</v>
      </c>
      <c r="EG7" t="e">
        <f>AND('MATRIX - Case Level'!K74,"AAAAACn974g=")</f>
        <v>#VALUE!</v>
      </c>
      <c r="EH7" t="e">
        <f>AND('MATRIX - Case Level'!L74,"AAAAACn974k=")</f>
        <v>#VALUE!</v>
      </c>
      <c r="EI7" t="e">
        <f>AND('MATRIX - Case Level'!#REF!,"AAAAACn974o=")</f>
        <v>#REF!</v>
      </c>
      <c r="EJ7" t="e">
        <f>AND('MATRIX - Case Level'!O74,"AAAAACn974s=")</f>
        <v>#VALUE!</v>
      </c>
      <c r="EK7" t="e">
        <f>AND('MATRIX - Case Level'!P74,"AAAAACn974w=")</f>
        <v>#VALUE!</v>
      </c>
      <c r="EL7" t="e">
        <f>AND('MATRIX - Case Level'!Q74,"AAAAACn9740=")</f>
        <v>#VALUE!</v>
      </c>
      <c r="EM7" t="e">
        <f>AND('MATRIX - Case Level'!#REF!,"AAAAACn9744=")</f>
        <v>#REF!</v>
      </c>
      <c r="EN7" t="e">
        <f>AND('MATRIX - Case Level'!#REF!,"AAAAACn9748=")</f>
        <v>#REF!</v>
      </c>
      <c r="EO7">
        <f>IF('MATRIX - Case Level'!75:75,"AAAAACn975A=",0)</f>
        <v>0</v>
      </c>
      <c r="EP7" t="e">
        <f>AND('MATRIX - Case Level'!A75,"AAAAACn975E=")</f>
        <v>#VALUE!</v>
      </c>
      <c r="EQ7" t="e">
        <f>AND('MATRIX - Case Level'!B75,"AAAAACn975I=")</f>
        <v>#VALUE!</v>
      </c>
      <c r="ER7" t="e">
        <f>AND('MATRIX - Case Level'!C75,"AAAAACn975M=")</f>
        <v>#VALUE!</v>
      </c>
      <c r="ES7" t="e">
        <f>AND('MATRIX - Case Level'!#REF!,"AAAAACn975Q=")</f>
        <v>#REF!</v>
      </c>
      <c r="ET7" t="e">
        <f>AND('MATRIX - Case Level'!D75,"AAAAACn975U=")</f>
        <v>#VALUE!</v>
      </c>
      <c r="EU7" t="e">
        <f>AND('MATRIX - Case Level'!E75,"AAAAACn975Y=")</f>
        <v>#VALUE!</v>
      </c>
      <c r="EV7" t="e">
        <f>AND('MATRIX - Case Level'!F75,"AAAAACn975c=")</f>
        <v>#VALUE!</v>
      </c>
      <c r="EW7" t="e">
        <f>AND('MATRIX - Case Level'!G75,"AAAAACn975g=")</f>
        <v>#VALUE!</v>
      </c>
      <c r="EX7" t="e">
        <f>AND('MATRIX - Case Level'!H75,"AAAAACn975k=")</f>
        <v>#VALUE!</v>
      </c>
      <c r="EY7" t="e">
        <f>AND('MATRIX - Case Level'!I75,"AAAAACn975o=")</f>
        <v>#VALUE!</v>
      </c>
      <c r="EZ7" t="e">
        <f>AND('MATRIX - Case Level'!J75,"AAAAACn975s=")</f>
        <v>#VALUE!</v>
      </c>
      <c r="FA7" t="e">
        <f>AND('MATRIX - Case Level'!K75,"AAAAACn975w=")</f>
        <v>#VALUE!</v>
      </c>
      <c r="FB7" t="e">
        <f>AND('MATRIX - Case Level'!L75,"AAAAACn9750=")</f>
        <v>#VALUE!</v>
      </c>
      <c r="FC7" t="e">
        <f>AND('MATRIX - Case Level'!#REF!,"AAAAACn9754=")</f>
        <v>#REF!</v>
      </c>
      <c r="FD7" t="e">
        <f>AND('MATRIX - Case Level'!O75,"AAAAACn9758=")</f>
        <v>#VALUE!</v>
      </c>
      <c r="FE7" t="e">
        <f>AND('MATRIX - Case Level'!P75,"AAAAACn976A=")</f>
        <v>#VALUE!</v>
      </c>
      <c r="FF7" t="e">
        <f>AND('MATRIX - Case Level'!Q75,"AAAAACn976E=")</f>
        <v>#VALUE!</v>
      </c>
      <c r="FG7" t="e">
        <f>AND('MATRIX - Case Level'!#REF!,"AAAAACn976I=")</f>
        <v>#REF!</v>
      </c>
      <c r="FH7" t="e">
        <f>AND('MATRIX - Case Level'!#REF!,"AAAAACn976M=")</f>
        <v>#REF!</v>
      </c>
      <c r="FI7">
        <f>IF('MATRIX - Case Level'!76:76,"AAAAACn976Q=",0)</f>
        <v>0</v>
      </c>
      <c r="FJ7" t="e">
        <f>AND('MATRIX - Case Level'!A76,"AAAAACn976U=")</f>
        <v>#VALUE!</v>
      </c>
      <c r="FK7" t="e">
        <f>AND('MATRIX - Case Level'!B76,"AAAAACn976Y=")</f>
        <v>#VALUE!</v>
      </c>
      <c r="FL7" t="e">
        <f>AND('MATRIX - Case Level'!C76,"AAAAACn976c=")</f>
        <v>#VALUE!</v>
      </c>
      <c r="FM7" t="e">
        <f>AND('MATRIX - Case Level'!#REF!,"AAAAACn976g=")</f>
        <v>#REF!</v>
      </c>
      <c r="FN7" t="e">
        <f>AND('MATRIX - Case Level'!D76,"AAAAACn976k=")</f>
        <v>#VALUE!</v>
      </c>
      <c r="FO7" t="e">
        <f>AND('MATRIX - Case Level'!E76,"AAAAACn976o=")</f>
        <v>#VALUE!</v>
      </c>
      <c r="FP7" t="e">
        <f>AND('MATRIX - Case Level'!F76,"AAAAACn976s=")</f>
        <v>#VALUE!</v>
      </c>
      <c r="FQ7" t="e">
        <f>AND('MATRIX - Case Level'!G76,"AAAAACn976w=")</f>
        <v>#VALUE!</v>
      </c>
      <c r="FR7" t="e">
        <f>AND('MATRIX - Case Level'!H76,"AAAAACn9760=")</f>
        <v>#VALUE!</v>
      </c>
      <c r="FS7" t="e">
        <f>AND('MATRIX - Case Level'!I76,"AAAAACn9764=")</f>
        <v>#VALUE!</v>
      </c>
      <c r="FT7" t="e">
        <f>AND('MATRIX - Case Level'!J76,"AAAAACn9768=")</f>
        <v>#VALUE!</v>
      </c>
      <c r="FU7" t="e">
        <f>AND('MATRIX - Case Level'!K76,"AAAAACn977A=")</f>
        <v>#VALUE!</v>
      </c>
      <c r="FV7" t="e">
        <f>AND('MATRIX - Case Level'!L76,"AAAAACn977E=")</f>
        <v>#VALUE!</v>
      </c>
      <c r="FW7" t="e">
        <f>AND('MATRIX - Case Level'!#REF!,"AAAAACn977I=")</f>
        <v>#REF!</v>
      </c>
      <c r="FX7" t="e">
        <f>AND('MATRIX - Case Level'!O76,"AAAAACn977M=")</f>
        <v>#VALUE!</v>
      </c>
      <c r="FY7" t="e">
        <f>AND('MATRIX - Case Level'!P76,"AAAAACn977Q=")</f>
        <v>#VALUE!</v>
      </c>
      <c r="FZ7" t="e">
        <f>AND('MATRIX - Case Level'!Q76,"AAAAACn977U=")</f>
        <v>#VALUE!</v>
      </c>
      <c r="GA7" t="e">
        <f>AND('MATRIX - Case Level'!#REF!,"AAAAACn977Y=")</f>
        <v>#REF!</v>
      </c>
      <c r="GB7" t="e">
        <f>AND('MATRIX - Case Level'!#REF!,"AAAAACn977c=")</f>
        <v>#REF!</v>
      </c>
      <c r="GC7">
        <f>IF('MATRIX - Case Level'!77:77,"AAAAACn977g=",0)</f>
        <v>0</v>
      </c>
      <c r="GD7" t="e">
        <f>IF('MATRIX - Case Level'!A:A,"AAAAACn977k=",0)</f>
        <v>#VALUE!</v>
      </c>
      <c r="GE7">
        <f>IF('MATRIX - Case Level'!B:B,"AAAAACn977o=",0)</f>
        <v>0</v>
      </c>
      <c r="GF7">
        <f>IF('MATRIX - Case Level'!C:C,"AAAAACn977s=",0)</f>
        <v>0</v>
      </c>
      <c r="GG7" t="e">
        <f>IF('MATRIX - Case Level'!#REF!,"AAAAACn977w=",0)</f>
        <v>#REF!</v>
      </c>
      <c r="GH7">
        <f>IF('MATRIX - Case Level'!D:D,"AAAAACn9770=",0)</f>
        <v>0</v>
      </c>
      <c r="GI7">
        <f>IF('MATRIX - Case Level'!E:E,"AAAAACn9774=",0)</f>
        <v>0</v>
      </c>
      <c r="GJ7">
        <f>IF('MATRIX - Case Level'!F:F,"AAAAACn9778=",0)</f>
        <v>0</v>
      </c>
      <c r="GK7">
        <f>IF('MATRIX - Case Level'!G:G,"AAAAACn978A=",0)</f>
        <v>0</v>
      </c>
      <c r="GL7">
        <f>IF('MATRIX - Case Level'!H:H,"AAAAACn978E=",0)</f>
        <v>0</v>
      </c>
      <c r="GM7">
        <f>IF('MATRIX - Case Level'!I:I,"AAAAACn978I=",0)</f>
        <v>0</v>
      </c>
      <c r="GN7">
        <f>IF('MATRIX - Case Level'!J:J,"AAAAACn978M=",0)</f>
        <v>0</v>
      </c>
      <c r="GO7">
        <f>IF('MATRIX - Case Level'!K:K,"AAAAACn978Q=",0)</f>
        <v>0</v>
      </c>
      <c r="GP7">
        <f>IF('MATRIX - Case Level'!L:L,"AAAAACn978U=",0)</f>
        <v>0</v>
      </c>
      <c r="GQ7" t="e">
        <f>IF('MATRIX - Case Level'!#REF!,"AAAAACn978Y=",0)</f>
        <v>#REF!</v>
      </c>
      <c r="GR7">
        <f>IF('MATRIX - Case Level'!O:O,"AAAAACn978c=",0)</f>
        <v>0</v>
      </c>
      <c r="GS7" t="e">
        <f>IF('MATRIX - Case Level'!P:P,"AAAAACn978g=",0)</f>
        <v>#VALUE!</v>
      </c>
      <c r="GT7" t="e">
        <f>IF('MATRIX - Case Level'!Q:Q,"AAAAACn978k=",0)</f>
        <v>#VALUE!</v>
      </c>
      <c r="GU7" t="e">
        <f>IF('MATRIX - Case Level'!#REF!,"AAAAACn978o=",0)</f>
        <v>#REF!</v>
      </c>
      <c r="GV7" t="e">
        <f>IF('MATRIX - Case Level'!#REF!,"AAAAACn978s=",0)</f>
        <v>#REF!</v>
      </c>
      <c r="GW7">
        <f>IF('Access Level Descriptions'!4:4,"AAAAACn978w=",0)</f>
        <v>0</v>
      </c>
      <c r="GX7" t="e">
        <f>AND('Access Level Descriptions'!A4,"AAAAACn9780=")</f>
        <v>#VALUE!</v>
      </c>
      <c r="GY7" t="e">
        <f>AND('Access Level Descriptions'!B4,"AAAAACn9784=")</f>
        <v>#VALUE!</v>
      </c>
      <c r="GZ7" t="e">
        <f>AND('Access Level Descriptions'!C4,"AAAAACn9788=")</f>
        <v>#VALUE!</v>
      </c>
      <c r="HA7" t="e">
        <f>AND('Access Level Descriptions'!D4,"AAAAACn979A=")</f>
        <v>#VALUE!</v>
      </c>
      <c r="HB7" t="e">
        <f>AND('Access Level Descriptions'!E4,"AAAAACn979E=")</f>
        <v>#VALUE!</v>
      </c>
      <c r="HC7" t="e">
        <f>AND('Access Level Descriptions'!F4,"AAAAACn979I=")</f>
        <v>#VALUE!</v>
      </c>
      <c r="HD7" t="e">
        <f>AND('Access Level Descriptions'!G4,"AAAAACn979M=")</f>
        <v>#VALUE!</v>
      </c>
      <c r="HE7" t="e">
        <f>AND('Access Level Descriptions'!H4,"AAAAACn979Q=")</f>
        <v>#VALUE!</v>
      </c>
      <c r="HF7" t="e">
        <f>AND('Access Level Descriptions'!I4,"AAAAACn979U=")</f>
        <v>#VALUE!</v>
      </c>
      <c r="HG7" t="e">
        <f>AND('Access Level Descriptions'!J4,"AAAAACn979Y=")</f>
        <v>#VALUE!</v>
      </c>
      <c r="HH7" t="e">
        <f>AND('Access Level Descriptions'!K4,"AAAAACn979c=")</f>
        <v>#VALUE!</v>
      </c>
      <c r="HI7">
        <f>IF('Access Level Descriptions'!5:5,"AAAAACn979g=",0)</f>
        <v>0</v>
      </c>
      <c r="HJ7" t="e">
        <f>AND('Access Level Descriptions'!A5,"AAAAACn979k=")</f>
        <v>#VALUE!</v>
      </c>
      <c r="HK7" t="e">
        <f>AND('Access Level Descriptions'!B5,"AAAAACn979o=")</f>
        <v>#VALUE!</v>
      </c>
      <c r="HL7" t="e">
        <f>AND('Access Level Descriptions'!C5,"AAAAACn979s=")</f>
        <v>#VALUE!</v>
      </c>
      <c r="HM7" t="e">
        <f>AND('Access Level Descriptions'!D5,"AAAAACn979w=")</f>
        <v>#VALUE!</v>
      </c>
      <c r="HN7" t="e">
        <f>AND('Access Level Descriptions'!E5,"AAAAACn9790=")</f>
        <v>#VALUE!</v>
      </c>
      <c r="HO7" t="e">
        <f>AND('Access Level Descriptions'!F5,"AAAAACn9794=")</f>
        <v>#VALUE!</v>
      </c>
      <c r="HP7" t="e">
        <f>AND('Access Level Descriptions'!G5,"AAAAACn9798=")</f>
        <v>#VALUE!</v>
      </c>
      <c r="HQ7" t="e">
        <f>AND('Access Level Descriptions'!H5,"AAAAACn97+A=")</f>
        <v>#VALUE!</v>
      </c>
      <c r="HR7" t="e">
        <f>AND('Access Level Descriptions'!I5,"AAAAACn97+E=")</f>
        <v>#VALUE!</v>
      </c>
      <c r="HS7" t="e">
        <f>AND('Access Level Descriptions'!J5,"AAAAACn97+I=")</f>
        <v>#VALUE!</v>
      </c>
      <c r="HT7" t="e">
        <f>AND('Access Level Descriptions'!K5,"AAAAACn97+M=")</f>
        <v>#VALUE!</v>
      </c>
      <c r="HU7">
        <f>IF('Access Level Descriptions'!6:6,"AAAAACn97+Q=",0)</f>
        <v>0</v>
      </c>
      <c r="HV7" t="e">
        <f>AND('Access Level Descriptions'!A6,"AAAAACn97+U=")</f>
        <v>#VALUE!</v>
      </c>
      <c r="HW7" t="e">
        <f>AND('Access Level Descriptions'!B6,"AAAAACn97+Y=")</f>
        <v>#VALUE!</v>
      </c>
      <c r="HX7" t="e">
        <f>AND('Access Level Descriptions'!C6,"AAAAACn97+c=")</f>
        <v>#VALUE!</v>
      </c>
      <c r="HY7" t="e">
        <f>AND('Access Level Descriptions'!D6,"AAAAACn97+g=")</f>
        <v>#VALUE!</v>
      </c>
      <c r="HZ7" t="e">
        <f>AND('Access Level Descriptions'!E6,"AAAAACn97+k=")</f>
        <v>#VALUE!</v>
      </c>
      <c r="IA7" t="e">
        <f>AND('Access Level Descriptions'!F6,"AAAAACn97+o=")</f>
        <v>#VALUE!</v>
      </c>
      <c r="IB7" t="e">
        <f>AND('Access Level Descriptions'!G6,"AAAAACn97+s=")</f>
        <v>#VALUE!</v>
      </c>
      <c r="IC7" t="e">
        <f>AND('Access Level Descriptions'!H6,"AAAAACn97+w=")</f>
        <v>#VALUE!</v>
      </c>
      <c r="ID7" t="e">
        <f>AND('Access Level Descriptions'!I6,"AAAAACn97+0=")</f>
        <v>#VALUE!</v>
      </c>
      <c r="IE7" t="e">
        <f>AND('Access Level Descriptions'!J6,"AAAAACn97+4=")</f>
        <v>#VALUE!</v>
      </c>
      <c r="IF7" t="e">
        <f>AND('Access Level Descriptions'!K6,"AAAAACn97+8=")</f>
        <v>#VALUE!</v>
      </c>
      <c r="IG7">
        <f>IF('Access Level Descriptions'!7:7,"AAAAACn97/A=",0)</f>
        <v>0</v>
      </c>
      <c r="IH7" t="e">
        <f>AND('Access Level Descriptions'!A7,"AAAAACn97/E=")</f>
        <v>#VALUE!</v>
      </c>
      <c r="II7" t="e">
        <f>AND('Access Level Descriptions'!B7,"AAAAACn97/I=")</f>
        <v>#VALUE!</v>
      </c>
      <c r="IJ7" t="e">
        <f>AND('Access Level Descriptions'!C7,"AAAAACn97/M=")</f>
        <v>#VALUE!</v>
      </c>
      <c r="IK7" t="e">
        <f>AND('Access Level Descriptions'!D7,"AAAAACn97/Q=")</f>
        <v>#VALUE!</v>
      </c>
      <c r="IL7" t="e">
        <f>AND('Access Level Descriptions'!E7,"AAAAACn97/U=")</f>
        <v>#VALUE!</v>
      </c>
      <c r="IM7" t="e">
        <f>AND('Access Level Descriptions'!F7,"AAAAACn97/Y=")</f>
        <v>#VALUE!</v>
      </c>
      <c r="IN7" t="e">
        <f>AND('Access Level Descriptions'!G7,"AAAAACn97/c=")</f>
        <v>#VALUE!</v>
      </c>
      <c r="IO7" t="e">
        <f>AND('Access Level Descriptions'!H7,"AAAAACn97/g=")</f>
        <v>#VALUE!</v>
      </c>
      <c r="IP7" t="e">
        <f>AND('Access Level Descriptions'!I7,"AAAAACn97/k=")</f>
        <v>#VALUE!</v>
      </c>
      <c r="IQ7" t="e">
        <f>AND('Access Level Descriptions'!J7,"AAAAACn97/o=")</f>
        <v>#VALUE!</v>
      </c>
      <c r="IR7" t="e">
        <f>AND('Access Level Descriptions'!K7,"AAAAACn97/s=")</f>
        <v>#VALUE!</v>
      </c>
      <c r="IS7">
        <f>IF('Access Level Descriptions'!8:8,"AAAAACn97/w=",0)</f>
        <v>0</v>
      </c>
      <c r="IT7" t="e">
        <f>AND('Access Level Descriptions'!A8,"AAAAACn97/0=")</f>
        <v>#VALUE!</v>
      </c>
      <c r="IU7" t="e">
        <f>AND('Access Level Descriptions'!B8,"AAAAACn97/4=")</f>
        <v>#VALUE!</v>
      </c>
      <c r="IV7" t="e">
        <f>AND('Access Level Descriptions'!C8,"AAAAACn97/8=")</f>
        <v>#VALUE!</v>
      </c>
    </row>
    <row r="8" spans="1:256" ht="12.75">
      <c r="A8" t="e">
        <f>AND('Access Level Descriptions'!D8,"AAAAAFQ+vwA=")</f>
        <v>#VALUE!</v>
      </c>
      <c r="B8" t="e">
        <f>AND('Access Level Descriptions'!E8,"AAAAAFQ+vwE=")</f>
        <v>#VALUE!</v>
      </c>
      <c r="C8" t="e">
        <f>AND('Access Level Descriptions'!F8,"AAAAAFQ+vwI=")</f>
        <v>#VALUE!</v>
      </c>
      <c r="D8" t="e">
        <f>AND('Access Level Descriptions'!G8,"AAAAAFQ+vwM=")</f>
        <v>#VALUE!</v>
      </c>
      <c r="E8" t="e">
        <f>AND('Access Level Descriptions'!H8,"AAAAAFQ+vwQ=")</f>
        <v>#VALUE!</v>
      </c>
      <c r="F8" t="e">
        <f>AND('Access Level Descriptions'!I8,"AAAAAFQ+vwU=")</f>
        <v>#VALUE!</v>
      </c>
      <c r="G8" t="e">
        <f>AND('Access Level Descriptions'!J8,"AAAAAFQ+vwY=")</f>
        <v>#VALUE!</v>
      </c>
      <c r="H8" t="e">
        <f>AND('Access Level Descriptions'!K8,"AAAAAFQ+vwc=")</f>
        <v>#VALUE!</v>
      </c>
      <c r="I8" t="e">
        <f>IF('Access Level Descriptions'!9:9,"AAAAAFQ+vwg=",0)</f>
        <v>#VALUE!</v>
      </c>
      <c r="J8" t="e">
        <f>AND('Access Level Descriptions'!A9,"AAAAAFQ+vwk=")</f>
        <v>#VALUE!</v>
      </c>
      <c r="K8" t="e">
        <f>AND('Access Level Descriptions'!B9,"AAAAAFQ+vwo=")</f>
        <v>#VALUE!</v>
      </c>
      <c r="L8" t="e">
        <f>AND('Access Level Descriptions'!C9,"AAAAAFQ+vws=")</f>
        <v>#VALUE!</v>
      </c>
      <c r="M8" t="e">
        <f>AND('Access Level Descriptions'!D9,"AAAAAFQ+vww=")</f>
        <v>#VALUE!</v>
      </c>
      <c r="N8" t="e">
        <f>AND('Access Level Descriptions'!E9,"AAAAAFQ+vw0=")</f>
        <v>#VALUE!</v>
      </c>
      <c r="O8" t="e">
        <f>AND('Access Level Descriptions'!F9,"AAAAAFQ+vw4=")</f>
        <v>#VALUE!</v>
      </c>
      <c r="P8" t="e">
        <f>AND('Access Level Descriptions'!G9,"AAAAAFQ+vw8=")</f>
        <v>#VALUE!</v>
      </c>
      <c r="Q8" t="e">
        <f>AND('Access Level Descriptions'!H9,"AAAAAFQ+vxA=")</f>
        <v>#VALUE!</v>
      </c>
      <c r="R8" t="e">
        <f>AND('Access Level Descriptions'!I9,"AAAAAFQ+vxE=")</f>
        <v>#VALUE!</v>
      </c>
      <c r="S8" t="e">
        <f>AND('Access Level Descriptions'!J9,"AAAAAFQ+vxI=")</f>
        <v>#VALUE!</v>
      </c>
      <c r="T8" t="e">
        <f>AND('Access Level Descriptions'!K9,"AAAAAFQ+vxM=")</f>
        <v>#VALUE!</v>
      </c>
      <c r="U8">
        <f>IF('Access Level Descriptions'!10:10,"AAAAAFQ+vxQ=",0)</f>
        <v>0</v>
      </c>
      <c r="V8" t="e">
        <f>AND('Access Level Descriptions'!A10,"AAAAAFQ+vxU=")</f>
        <v>#VALUE!</v>
      </c>
      <c r="W8" t="e">
        <f>AND('Access Level Descriptions'!B10,"AAAAAFQ+vxY=")</f>
        <v>#VALUE!</v>
      </c>
      <c r="X8" t="e">
        <f>AND('Access Level Descriptions'!C10,"AAAAAFQ+vxc=")</f>
        <v>#VALUE!</v>
      </c>
      <c r="Y8" t="e">
        <f>AND('Access Level Descriptions'!D10,"AAAAAFQ+vxg=")</f>
        <v>#VALUE!</v>
      </c>
      <c r="Z8" t="e">
        <f>AND('Access Level Descriptions'!E10,"AAAAAFQ+vxk=")</f>
        <v>#VALUE!</v>
      </c>
      <c r="AA8" t="e">
        <f>AND('Access Level Descriptions'!F10,"AAAAAFQ+vxo=")</f>
        <v>#VALUE!</v>
      </c>
      <c r="AB8" t="e">
        <f>AND('Access Level Descriptions'!G10,"AAAAAFQ+vxs=")</f>
        <v>#VALUE!</v>
      </c>
      <c r="AC8" t="e">
        <f>AND('Access Level Descriptions'!H10,"AAAAAFQ+vxw=")</f>
        <v>#VALUE!</v>
      </c>
      <c r="AD8" t="e">
        <f>AND('Access Level Descriptions'!I10,"AAAAAFQ+vx0=")</f>
        <v>#VALUE!</v>
      </c>
      <c r="AE8" t="e">
        <f>AND('Access Level Descriptions'!J10,"AAAAAFQ+vx4=")</f>
        <v>#VALUE!</v>
      </c>
      <c r="AF8" t="e">
        <f>AND('Access Level Descriptions'!K10,"AAAAAFQ+vx8=")</f>
        <v>#VALUE!</v>
      </c>
      <c r="AG8">
        <f>IF('Access Level Descriptions'!11:11,"AAAAAFQ+vyA=",0)</f>
        <v>0</v>
      </c>
      <c r="AH8" t="e">
        <f>AND('Access Level Descriptions'!A11,"AAAAAFQ+vyE=")</f>
        <v>#VALUE!</v>
      </c>
      <c r="AI8" t="e">
        <f>AND('Access Level Descriptions'!B11,"AAAAAFQ+vyI=")</f>
        <v>#VALUE!</v>
      </c>
      <c r="AJ8" t="e">
        <f>AND('Access Level Descriptions'!C11,"AAAAAFQ+vyM=")</f>
        <v>#VALUE!</v>
      </c>
      <c r="AK8" t="e">
        <f>AND('Access Level Descriptions'!D11,"AAAAAFQ+vyQ=")</f>
        <v>#VALUE!</v>
      </c>
      <c r="AL8" t="e">
        <f>AND('Access Level Descriptions'!E11,"AAAAAFQ+vyU=")</f>
        <v>#VALUE!</v>
      </c>
      <c r="AM8" t="e">
        <f>AND('Access Level Descriptions'!F11,"AAAAAFQ+vyY=")</f>
        <v>#VALUE!</v>
      </c>
      <c r="AN8" t="e">
        <f>AND('Access Level Descriptions'!G11,"AAAAAFQ+vyc=")</f>
        <v>#VALUE!</v>
      </c>
      <c r="AO8" t="e">
        <f>AND('Access Level Descriptions'!H11,"AAAAAFQ+vyg=")</f>
        <v>#VALUE!</v>
      </c>
      <c r="AP8" t="e">
        <f>AND('Access Level Descriptions'!I11,"AAAAAFQ+vyk=")</f>
        <v>#VALUE!</v>
      </c>
      <c r="AQ8" t="e">
        <f>AND('Access Level Descriptions'!J11,"AAAAAFQ+vyo=")</f>
        <v>#VALUE!</v>
      </c>
      <c r="AR8" t="e">
        <f>AND('Access Level Descriptions'!K11,"AAAAAFQ+vys=")</f>
        <v>#VALUE!</v>
      </c>
      <c r="AS8">
        <f>IF('Access Level Descriptions'!12:12,"AAAAAFQ+vyw=",0)</f>
        <v>0</v>
      </c>
      <c r="AT8" t="e">
        <f>AND('Access Level Descriptions'!A12,"AAAAAFQ+vy0=")</f>
        <v>#VALUE!</v>
      </c>
      <c r="AU8" t="e">
        <f>AND('Access Level Descriptions'!B12,"AAAAAFQ+vy4=")</f>
        <v>#VALUE!</v>
      </c>
      <c r="AV8" t="e">
        <f>AND('Access Level Descriptions'!C12,"AAAAAFQ+vy8=")</f>
        <v>#VALUE!</v>
      </c>
      <c r="AW8" t="e">
        <f>AND('Access Level Descriptions'!D12,"AAAAAFQ+vzA=")</f>
        <v>#VALUE!</v>
      </c>
      <c r="AX8" t="e">
        <f>AND('Access Level Descriptions'!E12,"AAAAAFQ+vzE=")</f>
        <v>#VALUE!</v>
      </c>
      <c r="AY8" t="e">
        <f>AND('Access Level Descriptions'!F12,"AAAAAFQ+vzI=")</f>
        <v>#VALUE!</v>
      </c>
      <c r="AZ8" t="e">
        <f>AND('Access Level Descriptions'!G12,"AAAAAFQ+vzM=")</f>
        <v>#VALUE!</v>
      </c>
      <c r="BA8" t="e">
        <f>AND('Access Level Descriptions'!H12,"AAAAAFQ+vzQ=")</f>
        <v>#VALUE!</v>
      </c>
      <c r="BB8" t="e">
        <f>AND('Access Level Descriptions'!I12,"AAAAAFQ+vzU=")</f>
        <v>#VALUE!</v>
      </c>
      <c r="BC8" t="e">
        <f>AND('Access Level Descriptions'!J12,"AAAAAFQ+vzY=")</f>
        <v>#VALUE!</v>
      </c>
      <c r="BD8" t="e">
        <f>AND('Access Level Descriptions'!K12,"AAAAAFQ+vzc=")</f>
        <v>#VALUE!</v>
      </c>
      <c r="BE8">
        <f>IF('Access Level Descriptions'!13:13,"AAAAAFQ+vzg=",0)</f>
        <v>0</v>
      </c>
      <c r="BF8" t="e">
        <f>AND('Access Level Descriptions'!A13,"AAAAAFQ+vzk=")</f>
        <v>#VALUE!</v>
      </c>
      <c r="BG8" t="e">
        <f>AND('Access Level Descriptions'!B13,"AAAAAFQ+vzo=")</f>
        <v>#VALUE!</v>
      </c>
      <c r="BH8" t="e">
        <f>AND('Access Level Descriptions'!C13,"AAAAAFQ+vzs=")</f>
        <v>#VALUE!</v>
      </c>
      <c r="BI8" t="e">
        <f>AND('Access Level Descriptions'!D13,"AAAAAFQ+vzw=")</f>
        <v>#VALUE!</v>
      </c>
      <c r="BJ8" t="e">
        <f>AND('Access Level Descriptions'!E13,"AAAAAFQ+vz0=")</f>
        <v>#VALUE!</v>
      </c>
      <c r="BK8" t="e">
        <f>AND('Access Level Descriptions'!F13,"AAAAAFQ+vz4=")</f>
        <v>#VALUE!</v>
      </c>
      <c r="BL8" t="e">
        <f>AND('Access Level Descriptions'!G13,"AAAAAFQ+vz8=")</f>
        <v>#VALUE!</v>
      </c>
      <c r="BM8" t="e">
        <f>AND('Access Level Descriptions'!H13,"AAAAAFQ+v0A=")</f>
        <v>#VALUE!</v>
      </c>
      <c r="BN8" t="e">
        <f>AND('Access Level Descriptions'!I13,"AAAAAFQ+v0E=")</f>
        <v>#VALUE!</v>
      </c>
      <c r="BO8" t="e">
        <f>AND('Access Level Descriptions'!J13,"AAAAAFQ+v0I=")</f>
        <v>#VALUE!</v>
      </c>
      <c r="BP8" t="e">
        <f>AND('Access Level Descriptions'!K13,"AAAAAFQ+v0M=")</f>
        <v>#VALUE!</v>
      </c>
      <c r="BQ8">
        <f>IF('Access Level Descriptions'!14:14,"AAAAAFQ+v0Q=",0)</f>
        <v>0</v>
      </c>
      <c r="BR8" t="e">
        <f>AND('Access Level Descriptions'!A14,"AAAAAFQ+v0U=")</f>
        <v>#VALUE!</v>
      </c>
      <c r="BS8" t="e">
        <f>AND('Access Level Descriptions'!B14,"AAAAAFQ+v0Y=")</f>
        <v>#VALUE!</v>
      </c>
      <c r="BT8" t="e">
        <f>AND('Access Level Descriptions'!C14,"AAAAAFQ+v0c=")</f>
        <v>#VALUE!</v>
      </c>
      <c r="BU8" t="e">
        <f>AND('Access Level Descriptions'!D14,"AAAAAFQ+v0g=")</f>
        <v>#VALUE!</v>
      </c>
      <c r="BV8" t="e">
        <f>AND('Access Level Descriptions'!E14,"AAAAAFQ+v0k=")</f>
        <v>#VALUE!</v>
      </c>
      <c r="BW8" t="e">
        <f>AND('Access Level Descriptions'!F14,"AAAAAFQ+v0o=")</f>
        <v>#VALUE!</v>
      </c>
      <c r="BX8" t="e">
        <f>AND('Access Level Descriptions'!G14,"AAAAAFQ+v0s=")</f>
        <v>#VALUE!</v>
      </c>
      <c r="BY8" t="e">
        <f>AND('Access Level Descriptions'!H14,"AAAAAFQ+v0w=")</f>
        <v>#VALUE!</v>
      </c>
      <c r="BZ8" t="e">
        <f>AND('Access Level Descriptions'!I14,"AAAAAFQ+v00=")</f>
        <v>#VALUE!</v>
      </c>
      <c r="CA8" t="e">
        <f>AND('Access Level Descriptions'!J14,"AAAAAFQ+v04=")</f>
        <v>#VALUE!</v>
      </c>
      <c r="CB8" t="e">
        <f>AND('Access Level Descriptions'!K14,"AAAAAFQ+v08=")</f>
        <v>#VALUE!</v>
      </c>
      <c r="CC8">
        <f>IF('Access Level Descriptions'!15:15,"AAAAAFQ+v1A=",0)</f>
        <v>0</v>
      </c>
      <c r="CD8" t="e">
        <f>AND('Access Level Descriptions'!A15,"AAAAAFQ+v1E=")</f>
        <v>#VALUE!</v>
      </c>
      <c r="CE8" t="e">
        <f>AND('Access Level Descriptions'!B15,"AAAAAFQ+v1I=")</f>
        <v>#VALUE!</v>
      </c>
      <c r="CF8" t="e">
        <f>AND('Access Level Descriptions'!C15,"AAAAAFQ+v1M=")</f>
        <v>#VALUE!</v>
      </c>
      <c r="CG8" t="e">
        <f>AND('Access Level Descriptions'!D15,"AAAAAFQ+v1Q=")</f>
        <v>#VALUE!</v>
      </c>
      <c r="CH8" t="e">
        <f>AND('Access Level Descriptions'!E15,"AAAAAFQ+v1U=")</f>
        <v>#VALUE!</v>
      </c>
      <c r="CI8" t="e">
        <f>AND('Access Level Descriptions'!F15,"AAAAAFQ+v1Y=")</f>
        <v>#VALUE!</v>
      </c>
      <c r="CJ8" t="e">
        <f>AND('Access Level Descriptions'!G15,"AAAAAFQ+v1c=")</f>
        <v>#VALUE!</v>
      </c>
      <c r="CK8" t="e">
        <f>AND('Access Level Descriptions'!H15,"AAAAAFQ+v1g=")</f>
        <v>#VALUE!</v>
      </c>
      <c r="CL8" t="e">
        <f>AND('Access Level Descriptions'!I15,"AAAAAFQ+v1k=")</f>
        <v>#VALUE!</v>
      </c>
      <c r="CM8" t="e">
        <f>AND('Access Level Descriptions'!J15,"AAAAAFQ+v1o=")</f>
        <v>#VALUE!</v>
      </c>
      <c r="CN8" t="e">
        <f>AND('Access Level Descriptions'!K15,"AAAAAFQ+v1s=")</f>
        <v>#VALUE!</v>
      </c>
      <c r="CO8">
        <f>IF('Access Level Descriptions'!16:16,"AAAAAFQ+v1w=",0)</f>
        <v>0</v>
      </c>
      <c r="CP8" t="e">
        <f>AND('Access Level Descriptions'!A16,"AAAAAFQ+v10=")</f>
        <v>#VALUE!</v>
      </c>
      <c r="CQ8" t="e">
        <f>AND('Access Level Descriptions'!B16,"AAAAAFQ+v14=")</f>
        <v>#VALUE!</v>
      </c>
      <c r="CR8" t="e">
        <f>AND('Access Level Descriptions'!C16,"AAAAAFQ+v18=")</f>
        <v>#VALUE!</v>
      </c>
      <c r="CS8" t="e">
        <f>AND('Access Level Descriptions'!D16,"AAAAAFQ+v2A=")</f>
        <v>#VALUE!</v>
      </c>
      <c r="CT8" t="e">
        <f>AND('Access Level Descriptions'!E16,"AAAAAFQ+v2E=")</f>
        <v>#VALUE!</v>
      </c>
      <c r="CU8" t="e">
        <f>AND('Access Level Descriptions'!F16,"AAAAAFQ+v2I=")</f>
        <v>#VALUE!</v>
      </c>
      <c r="CV8" t="e">
        <f>AND('Access Level Descriptions'!G16,"AAAAAFQ+v2M=")</f>
        <v>#VALUE!</v>
      </c>
      <c r="CW8" t="e">
        <f>AND('Access Level Descriptions'!H16,"AAAAAFQ+v2Q=")</f>
        <v>#VALUE!</v>
      </c>
      <c r="CX8" t="e">
        <f>AND('Access Level Descriptions'!I16,"AAAAAFQ+v2U=")</f>
        <v>#VALUE!</v>
      </c>
      <c r="CY8" t="e">
        <f>AND('Access Level Descriptions'!J16,"AAAAAFQ+v2Y=")</f>
        <v>#VALUE!</v>
      </c>
      <c r="CZ8" t="e">
        <f>AND('Access Level Descriptions'!K16,"AAAAAFQ+v2c=")</f>
        <v>#VALUE!</v>
      </c>
      <c r="DA8">
        <f>IF('Access Level Descriptions'!17:17,"AAAAAFQ+v2g=",0)</f>
        <v>0</v>
      </c>
      <c r="DB8">
        <f>IF('Access Level Descriptions'!18:18,"AAAAAFQ+v2k=",0)</f>
        <v>0</v>
      </c>
      <c r="DC8">
        <f>IF('Access Level Descriptions'!19:19,"AAAAAFQ+v2o=",0)</f>
        <v>0</v>
      </c>
      <c r="DD8">
        <f>IF('Access Level Descriptions'!20:20,"AAAAAFQ+v2s=",0)</f>
        <v>0</v>
      </c>
      <c r="DE8">
        <f>IF('Access Level Descriptions'!21:21,"AAAAAFQ+v2w=",0)</f>
        <v>0</v>
      </c>
      <c r="DF8" t="e">
        <f>IF('Access Level Descriptions'!A:A,"AAAAAFQ+v20=",0)</f>
        <v>#VALUE!</v>
      </c>
      <c r="DG8" t="e">
        <f>IF('Access Level Descriptions'!B:B,"AAAAAFQ+v24=",0)</f>
        <v>#VALUE!</v>
      </c>
      <c r="DH8" t="e">
        <f>IF('Access Level Descriptions'!C:C,"AAAAAFQ+v28=",0)</f>
        <v>#VALUE!</v>
      </c>
      <c r="DI8" t="e">
        <f>IF('Access Level Descriptions'!D:D,"AAAAAFQ+v3A=",0)</f>
        <v>#VALUE!</v>
      </c>
      <c r="DJ8" t="e">
        <f>IF('Access Level Descriptions'!E:E,"AAAAAFQ+v3E=",0)</f>
        <v>#VALUE!</v>
      </c>
      <c r="DK8" t="e">
        <f>IF('Access Level Descriptions'!F:F,"AAAAAFQ+v3I=",0)</f>
        <v>#VALUE!</v>
      </c>
      <c r="DL8" t="e">
        <f>IF('Access Level Descriptions'!G:G,"AAAAAFQ+v3M=",0)</f>
        <v>#VALUE!</v>
      </c>
      <c r="DM8" t="e">
        <f>IF('Access Level Descriptions'!H:H,"AAAAAFQ+v3Q=",0)</f>
        <v>#VALUE!</v>
      </c>
      <c r="DN8" t="e">
        <f>IF('Access Level Descriptions'!I:I,"AAAAAFQ+v3U=",0)</f>
        <v>#VALUE!</v>
      </c>
      <c r="DO8" t="e">
        <f>IF('Access Level Descriptions'!J:J,"AAAAAFQ+v3Y=",0)</f>
        <v>#VALUE!</v>
      </c>
      <c r="DP8" t="e">
        <f>IF('Access Level Descriptions'!K:K,"AAAAAFQ+v3c=",0)</f>
        <v>#VALUE!</v>
      </c>
      <c r="DQ8" t="e">
        <f>IF(#REF!,"AAAAAFQ+v3g=",0)</f>
        <v>#REF!</v>
      </c>
      <c r="DR8" t="e">
        <f>AND(#REF!,"AAAAAFQ+v3k=")</f>
        <v>#REF!</v>
      </c>
      <c r="DS8" t="e">
        <f>AND(#REF!,"AAAAAFQ+v3o=")</f>
        <v>#REF!</v>
      </c>
      <c r="DT8" t="e">
        <f>AND(#REF!,"AAAAAFQ+v3s=")</f>
        <v>#REF!</v>
      </c>
      <c r="DU8" t="e">
        <f>AND(#REF!,"AAAAAFQ+v3w=")</f>
        <v>#REF!</v>
      </c>
      <c r="DV8" t="e">
        <f>AND(#REF!,"AAAAAFQ+v30=")</f>
        <v>#REF!</v>
      </c>
      <c r="DW8" t="e">
        <f>AND(#REF!,"AAAAAFQ+v34=")</f>
        <v>#REF!</v>
      </c>
      <c r="DX8" t="e">
        <f>AND(#REF!,"AAAAAFQ+v38=")</f>
        <v>#REF!</v>
      </c>
      <c r="DY8" t="e">
        <f>AND(#REF!,"AAAAAFQ+v4A=")</f>
        <v>#REF!</v>
      </c>
      <c r="DZ8" t="e">
        <f>AND(#REF!,"AAAAAFQ+v4E=")</f>
        <v>#REF!</v>
      </c>
      <c r="EA8" t="e">
        <f>AND(#REF!,"AAAAAFQ+v4I=")</f>
        <v>#REF!</v>
      </c>
      <c r="EB8" t="e">
        <f>AND(#REF!,"AAAAAFQ+v4M=")</f>
        <v>#REF!</v>
      </c>
      <c r="EC8" t="e">
        <f>AND(#REF!,"AAAAAFQ+v4Q=")</f>
        <v>#REF!</v>
      </c>
      <c r="ED8" t="e">
        <f>AND(#REF!,"AAAAAFQ+v4U=")</f>
        <v>#REF!</v>
      </c>
      <c r="EE8" t="e">
        <f>AND(#REF!,"AAAAAFQ+v4Y=")</f>
        <v>#REF!</v>
      </c>
      <c r="EF8" t="e">
        <f>AND(#REF!,"AAAAAFQ+v4c=")</f>
        <v>#REF!</v>
      </c>
      <c r="EG8" t="e">
        <f>AND(#REF!,"AAAAAFQ+v4g=")</f>
        <v>#REF!</v>
      </c>
      <c r="EH8" t="e">
        <f>AND(#REF!,"AAAAAFQ+v4k=")</f>
        <v>#REF!</v>
      </c>
      <c r="EI8" t="e">
        <f>AND(#REF!,"AAAAAFQ+v4o=")</f>
        <v>#REF!</v>
      </c>
      <c r="EJ8" t="e">
        <f>IF(#REF!,"AAAAAFQ+v4s=",0)</f>
        <v>#REF!</v>
      </c>
      <c r="EK8" t="e">
        <f>AND(#REF!,"AAAAAFQ+v4w=")</f>
        <v>#REF!</v>
      </c>
      <c r="EL8" t="e">
        <f>AND(#REF!,"AAAAAFQ+v40=")</f>
        <v>#REF!</v>
      </c>
      <c r="EM8" t="e">
        <f>AND(#REF!,"AAAAAFQ+v44=")</f>
        <v>#REF!</v>
      </c>
      <c r="EN8" t="e">
        <f>AND(#REF!,"AAAAAFQ+v48=")</f>
        <v>#REF!</v>
      </c>
      <c r="EO8" t="e">
        <f>AND(#REF!,"AAAAAFQ+v5A=")</f>
        <v>#REF!</v>
      </c>
      <c r="EP8" t="e">
        <f>AND(#REF!,"AAAAAFQ+v5E=")</f>
        <v>#REF!</v>
      </c>
      <c r="EQ8" t="e">
        <f>AND(#REF!,"AAAAAFQ+v5I=")</f>
        <v>#REF!</v>
      </c>
      <c r="ER8" t="e">
        <f>AND(#REF!,"AAAAAFQ+v5M=")</f>
        <v>#REF!</v>
      </c>
      <c r="ES8" t="e">
        <f>AND(#REF!,"AAAAAFQ+v5Q=")</f>
        <v>#REF!</v>
      </c>
      <c r="ET8" t="e">
        <f>AND(#REF!,"AAAAAFQ+v5U=")</f>
        <v>#REF!</v>
      </c>
      <c r="EU8" t="e">
        <f>AND(#REF!,"AAAAAFQ+v5Y=")</f>
        <v>#REF!</v>
      </c>
      <c r="EV8" t="e">
        <f>AND(#REF!,"AAAAAFQ+v5c=")</f>
        <v>#REF!</v>
      </c>
      <c r="EW8" t="e">
        <f>AND(#REF!,"AAAAAFQ+v5g=")</f>
        <v>#REF!</v>
      </c>
      <c r="EX8" t="e">
        <f>AND(#REF!,"AAAAAFQ+v5k=")</f>
        <v>#REF!</v>
      </c>
      <c r="EY8" t="e">
        <f>AND(#REF!,"AAAAAFQ+v5o=")</f>
        <v>#REF!</v>
      </c>
      <c r="EZ8" t="e">
        <f>AND(#REF!,"AAAAAFQ+v5s=")</f>
        <v>#REF!</v>
      </c>
      <c r="FA8" t="e">
        <f>AND(#REF!,"AAAAAFQ+v5w=")</f>
        <v>#REF!</v>
      </c>
      <c r="FB8" t="e">
        <f>AND(#REF!,"AAAAAFQ+v50=")</f>
        <v>#REF!</v>
      </c>
      <c r="FC8" t="e">
        <f>IF(#REF!,"AAAAAFQ+v54=",0)</f>
        <v>#REF!</v>
      </c>
      <c r="FD8" t="e">
        <f>AND(#REF!,"AAAAAFQ+v58=")</f>
        <v>#REF!</v>
      </c>
      <c r="FE8" t="e">
        <f>AND(#REF!,"AAAAAFQ+v6A=")</f>
        <v>#REF!</v>
      </c>
      <c r="FF8" t="e">
        <f>AND(#REF!,"AAAAAFQ+v6E=")</f>
        <v>#REF!</v>
      </c>
      <c r="FG8" t="e">
        <f>AND(#REF!,"AAAAAFQ+v6I=")</f>
        <v>#REF!</v>
      </c>
      <c r="FH8" t="e">
        <f>AND(#REF!,"AAAAAFQ+v6M=")</f>
        <v>#REF!</v>
      </c>
      <c r="FI8" t="e">
        <f>AND(#REF!,"AAAAAFQ+v6Q=")</f>
        <v>#REF!</v>
      </c>
      <c r="FJ8" t="e">
        <f>AND(#REF!,"AAAAAFQ+v6U=")</f>
        <v>#REF!</v>
      </c>
      <c r="FK8" t="e">
        <f>AND(#REF!,"AAAAAFQ+v6Y=")</f>
        <v>#REF!</v>
      </c>
      <c r="FL8" t="e">
        <f>AND(#REF!,"AAAAAFQ+v6c=")</f>
        <v>#REF!</v>
      </c>
      <c r="FM8" t="e">
        <f>AND(#REF!,"AAAAAFQ+v6g=")</f>
        <v>#REF!</v>
      </c>
      <c r="FN8" t="e">
        <f>AND(#REF!,"AAAAAFQ+v6k=")</f>
        <v>#REF!</v>
      </c>
      <c r="FO8" t="e">
        <f>AND(#REF!,"AAAAAFQ+v6o=")</f>
        <v>#REF!</v>
      </c>
      <c r="FP8" t="e">
        <f>AND(#REF!,"AAAAAFQ+v6s=")</f>
        <v>#REF!</v>
      </c>
      <c r="FQ8" t="e">
        <f>AND(#REF!,"AAAAAFQ+v6w=")</f>
        <v>#REF!</v>
      </c>
      <c r="FR8" t="e">
        <f>AND(#REF!,"AAAAAFQ+v60=")</f>
        <v>#REF!</v>
      </c>
      <c r="FS8" t="e">
        <f>AND(#REF!,"AAAAAFQ+v64=")</f>
        <v>#REF!</v>
      </c>
      <c r="FT8" t="e">
        <f>AND(#REF!,"AAAAAFQ+v68=")</f>
        <v>#REF!</v>
      </c>
      <c r="FU8" t="e">
        <f>AND(#REF!,"AAAAAFQ+v7A=")</f>
        <v>#REF!</v>
      </c>
      <c r="FV8" t="e">
        <f>IF(#REF!,"AAAAAFQ+v7E=",0)</f>
        <v>#REF!</v>
      </c>
      <c r="FW8" t="e">
        <f>AND(#REF!,"AAAAAFQ+v7I=")</f>
        <v>#REF!</v>
      </c>
      <c r="FX8" t="e">
        <f>AND(#REF!,"AAAAAFQ+v7M=")</f>
        <v>#REF!</v>
      </c>
      <c r="FY8" t="e">
        <f>AND(#REF!,"AAAAAFQ+v7Q=")</f>
        <v>#REF!</v>
      </c>
      <c r="FZ8" t="e">
        <f>AND(#REF!,"AAAAAFQ+v7U=")</f>
        <v>#REF!</v>
      </c>
      <c r="GA8" t="e">
        <f>AND(#REF!,"AAAAAFQ+v7Y=")</f>
        <v>#REF!</v>
      </c>
      <c r="GB8" t="e">
        <f>AND(#REF!,"AAAAAFQ+v7c=")</f>
        <v>#REF!</v>
      </c>
      <c r="GC8" t="e">
        <f>AND(#REF!,"AAAAAFQ+v7g=")</f>
        <v>#REF!</v>
      </c>
      <c r="GD8" t="e">
        <f>AND(#REF!,"AAAAAFQ+v7k=")</f>
        <v>#REF!</v>
      </c>
      <c r="GE8" t="e">
        <f>AND(#REF!,"AAAAAFQ+v7o=")</f>
        <v>#REF!</v>
      </c>
      <c r="GF8" t="e">
        <f>AND(#REF!,"AAAAAFQ+v7s=")</f>
        <v>#REF!</v>
      </c>
      <c r="GG8" t="e">
        <f>AND(#REF!,"AAAAAFQ+v7w=")</f>
        <v>#REF!</v>
      </c>
      <c r="GH8" t="e">
        <f>AND(#REF!,"AAAAAFQ+v70=")</f>
        <v>#REF!</v>
      </c>
      <c r="GI8" t="e">
        <f>AND(#REF!,"AAAAAFQ+v74=")</f>
        <v>#REF!</v>
      </c>
      <c r="GJ8" t="e">
        <f>AND(#REF!,"AAAAAFQ+v78=")</f>
        <v>#REF!</v>
      </c>
      <c r="GK8" t="e">
        <f>AND(#REF!,"AAAAAFQ+v8A=")</f>
        <v>#REF!</v>
      </c>
      <c r="GL8" t="e">
        <f>AND(#REF!,"AAAAAFQ+v8E=")</f>
        <v>#REF!</v>
      </c>
      <c r="GM8" t="e">
        <f>AND(#REF!,"AAAAAFQ+v8I=")</f>
        <v>#REF!</v>
      </c>
      <c r="GN8" t="e">
        <f>AND(#REF!,"AAAAAFQ+v8M=")</f>
        <v>#REF!</v>
      </c>
      <c r="GO8" t="e">
        <f>IF(#REF!,"AAAAAFQ+v8Q=",0)</f>
        <v>#REF!</v>
      </c>
      <c r="GP8" t="e">
        <f>AND(#REF!,"AAAAAFQ+v8U=")</f>
        <v>#REF!</v>
      </c>
      <c r="GQ8" t="e">
        <f>AND(#REF!,"AAAAAFQ+v8Y=")</f>
        <v>#REF!</v>
      </c>
      <c r="GR8" t="e">
        <f>AND(#REF!,"AAAAAFQ+v8c=")</f>
        <v>#REF!</v>
      </c>
      <c r="GS8" t="e">
        <f>AND(#REF!,"AAAAAFQ+v8g=")</f>
        <v>#REF!</v>
      </c>
      <c r="GT8" t="e">
        <f>AND(#REF!,"AAAAAFQ+v8k=")</f>
        <v>#REF!</v>
      </c>
      <c r="GU8" t="e">
        <f>AND(#REF!,"AAAAAFQ+v8o=")</f>
        <v>#REF!</v>
      </c>
      <c r="GV8" t="e">
        <f>AND(#REF!,"AAAAAFQ+v8s=")</f>
        <v>#REF!</v>
      </c>
      <c r="GW8" t="e">
        <f>AND(#REF!,"AAAAAFQ+v8w=")</f>
        <v>#REF!</v>
      </c>
      <c r="GX8" t="e">
        <f>AND(#REF!,"AAAAAFQ+v80=")</f>
        <v>#REF!</v>
      </c>
      <c r="GY8" t="e">
        <f>AND(#REF!,"AAAAAFQ+v84=")</f>
        <v>#REF!</v>
      </c>
      <c r="GZ8" t="e">
        <f>AND(#REF!,"AAAAAFQ+v88=")</f>
        <v>#REF!</v>
      </c>
      <c r="HA8" t="e">
        <f>AND(#REF!,"AAAAAFQ+v9A=")</f>
        <v>#REF!</v>
      </c>
      <c r="HB8" t="e">
        <f>AND(#REF!,"AAAAAFQ+v9E=")</f>
        <v>#REF!</v>
      </c>
      <c r="HC8" t="e">
        <f>AND(#REF!,"AAAAAFQ+v9I=")</f>
        <v>#REF!</v>
      </c>
      <c r="HD8" t="e">
        <f>AND(#REF!,"AAAAAFQ+v9M=")</f>
        <v>#REF!</v>
      </c>
      <c r="HE8" t="e">
        <f>AND(#REF!,"AAAAAFQ+v9Q=")</f>
        <v>#REF!</v>
      </c>
      <c r="HF8" t="e">
        <f>AND(#REF!,"AAAAAFQ+v9U=")</f>
        <v>#REF!</v>
      </c>
      <c r="HG8" t="e">
        <f>AND(#REF!,"AAAAAFQ+v9Y=")</f>
        <v>#REF!</v>
      </c>
      <c r="HH8" t="e">
        <f>IF(#REF!,"AAAAAFQ+v9c=",0)</f>
        <v>#REF!</v>
      </c>
      <c r="HI8" t="e">
        <f>AND(#REF!,"AAAAAFQ+v9g=")</f>
        <v>#REF!</v>
      </c>
      <c r="HJ8" t="e">
        <f>AND(#REF!,"AAAAAFQ+v9k=")</f>
        <v>#REF!</v>
      </c>
      <c r="HK8" t="e">
        <f>AND(#REF!,"AAAAAFQ+v9o=")</f>
        <v>#REF!</v>
      </c>
      <c r="HL8" t="e">
        <f>AND(#REF!,"AAAAAFQ+v9s=")</f>
        <v>#REF!</v>
      </c>
      <c r="HM8" t="e">
        <f>AND(#REF!,"AAAAAFQ+v9w=")</f>
        <v>#REF!</v>
      </c>
      <c r="HN8" t="e">
        <f>AND(#REF!,"AAAAAFQ+v90=")</f>
        <v>#REF!</v>
      </c>
      <c r="HO8" t="e">
        <f>AND(#REF!,"AAAAAFQ+v94=")</f>
        <v>#REF!</v>
      </c>
      <c r="HP8" t="e">
        <f>AND(#REF!,"AAAAAFQ+v98=")</f>
        <v>#REF!</v>
      </c>
      <c r="HQ8" t="e">
        <f>AND(#REF!,"AAAAAFQ+v+A=")</f>
        <v>#REF!</v>
      </c>
      <c r="HR8" t="e">
        <f>AND(#REF!,"AAAAAFQ+v+E=")</f>
        <v>#REF!</v>
      </c>
      <c r="HS8" t="e">
        <f>AND(#REF!,"AAAAAFQ+v+I=")</f>
        <v>#REF!</v>
      </c>
      <c r="HT8" t="e">
        <f>AND(#REF!,"AAAAAFQ+v+M=")</f>
        <v>#REF!</v>
      </c>
      <c r="HU8" t="e">
        <f>AND(#REF!,"AAAAAFQ+v+Q=")</f>
        <v>#REF!</v>
      </c>
      <c r="HV8" t="e">
        <f>AND(#REF!,"AAAAAFQ+v+U=")</f>
        <v>#REF!</v>
      </c>
      <c r="HW8" t="e">
        <f>AND(#REF!,"AAAAAFQ+v+Y=")</f>
        <v>#REF!</v>
      </c>
      <c r="HX8" t="e">
        <f>AND(#REF!,"AAAAAFQ+v+c=")</f>
        <v>#REF!</v>
      </c>
      <c r="HY8" t="e">
        <f>AND(#REF!,"AAAAAFQ+v+g=")</f>
        <v>#REF!</v>
      </c>
      <c r="HZ8" t="e">
        <f>AND(#REF!,"AAAAAFQ+v+k=")</f>
        <v>#REF!</v>
      </c>
      <c r="IA8" t="e">
        <f>IF(#REF!,"AAAAAFQ+v+o=",0)</f>
        <v>#REF!</v>
      </c>
      <c r="IB8" t="e">
        <f>AND(#REF!,"AAAAAFQ+v+s=")</f>
        <v>#REF!</v>
      </c>
      <c r="IC8" t="e">
        <f>AND(#REF!,"AAAAAFQ+v+w=")</f>
        <v>#REF!</v>
      </c>
      <c r="ID8" t="e">
        <f>AND(#REF!,"AAAAAFQ+v+0=")</f>
        <v>#REF!</v>
      </c>
      <c r="IE8" t="e">
        <f>AND(#REF!,"AAAAAFQ+v+4=")</f>
        <v>#REF!</v>
      </c>
      <c r="IF8" t="e">
        <f>AND(#REF!,"AAAAAFQ+v+8=")</f>
        <v>#REF!</v>
      </c>
      <c r="IG8" t="e">
        <f>AND(#REF!,"AAAAAFQ+v/A=")</f>
        <v>#REF!</v>
      </c>
      <c r="IH8" t="e">
        <f>AND(#REF!,"AAAAAFQ+v/E=")</f>
        <v>#REF!</v>
      </c>
      <c r="II8" t="e">
        <f>AND(#REF!,"AAAAAFQ+v/I=")</f>
        <v>#REF!</v>
      </c>
      <c r="IJ8" t="e">
        <f>AND(#REF!,"AAAAAFQ+v/M=")</f>
        <v>#REF!</v>
      </c>
      <c r="IK8" t="e">
        <f>AND(#REF!,"AAAAAFQ+v/Q=")</f>
        <v>#REF!</v>
      </c>
      <c r="IL8" t="e">
        <f>AND(#REF!,"AAAAAFQ+v/U=")</f>
        <v>#REF!</v>
      </c>
      <c r="IM8" t="e">
        <f>AND(#REF!,"AAAAAFQ+v/Y=")</f>
        <v>#REF!</v>
      </c>
      <c r="IN8" t="e">
        <f>AND(#REF!,"AAAAAFQ+v/c=")</f>
        <v>#REF!</v>
      </c>
      <c r="IO8" t="e">
        <f>AND(#REF!,"AAAAAFQ+v/g=")</f>
        <v>#REF!</v>
      </c>
      <c r="IP8" t="e">
        <f>AND(#REF!,"AAAAAFQ+v/k=")</f>
        <v>#REF!</v>
      </c>
      <c r="IQ8" t="e">
        <f>AND(#REF!,"AAAAAFQ+v/o=")</f>
        <v>#REF!</v>
      </c>
      <c r="IR8" t="e">
        <f>AND(#REF!,"AAAAAFQ+v/s=")</f>
        <v>#REF!</v>
      </c>
      <c r="IS8" t="e">
        <f>AND(#REF!,"AAAAAFQ+v/w=")</f>
        <v>#REF!</v>
      </c>
      <c r="IT8" t="e">
        <f>IF(#REF!,"AAAAAFQ+v/0=",0)</f>
        <v>#REF!</v>
      </c>
      <c r="IU8" t="e">
        <f>AND(#REF!,"AAAAAFQ+v/4=")</f>
        <v>#REF!</v>
      </c>
      <c r="IV8" t="e">
        <f>AND(#REF!,"AAAAAFQ+v/8=")</f>
        <v>#REF!</v>
      </c>
    </row>
    <row r="9" spans="1:256" ht="12.75">
      <c r="A9" t="e">
        <f>AND(#REF!,"AAAAAH/6WQA=")</f>
        <v>#REF!</v>
      </c>
      <c r="B9" t="e">
        <f>AND(#REF!,"AAAAAH/6WQE=")</f>
        <v>#REF!</v>
      </c>
      <c r="C9" t="e">
        <f>AND(#REF!,"AAAAAH/6WQI=")</f>
        <v>#REF!</v>
      </c>
      <c r="D9" t="e">
        <f>AND(#REF!,"AAAAAH/6WQM=")</f>
        <v>#REF!</v>
      </c>
      <c r="E9" t="e">
        <f>AND(#REF!,"AAAAAH/6WQQ=")</f>
        <v>#REF!</v>
      </c>
      <c r="F9" t="e">
        <f>AND(#REF!,"AAAAAH/6WQU=")</f>
        <v>#REF!</v>
      </c>
      <c r="G9" t="e">
        <f>AND(#REF!,"AAAAAH/6WQY=")</f>
        <v>#REF!</v>
      </c>
      <c r="H9" t="e">
        <f>AND(#REF!,"AAAAAH/6WQc=")</f>
        <v>#REF!</v>
      </c>
      <c r="I9" t="e">
        <f>AND(#REF!,"AAAAAH/6WQg=")</f>
        <v>#REF!</v>
      </c>
      <c r="J9" t="e">
        <f>AND(#REF!,"AAAAAH/6WQk=")</f>
        <v>#REF!</v>
      </c>
      <c r="K9" t="e">
        <f>AND(#REF!,"AAAAAH/6WQo=")</f>
        <v>#REF!</v>
      </c>
      <c r="L9" t="e">
        <f>AND(#REF!,"AAAAAH/6WQs=")</f>
        <v>#REF!</v>
      </c>
      <c r="M9" t="e">
        <f>AND(#REF!,"AAAAAH/6WQw=")</f>
        <v>#REF!</v>
      </c>
      <c r="N9" t="e">
        <f>AND(#REF!,"AAAAAH/6WQ0=")</f>
        <v>#REF!</v>
      </c>
      <c r="O9" t="e">
        <f>AND(#REF!,"AAAAAH/6WQ4=")</f>
        <v>#REF!</v>
      </c>
      <c r="P9" t="e">
        <f>AND(#REF!,"AAAAAH/6WQ8=")</f>
        <v>#REF!</v>
      </c>
      <c r="Q9" t="e">
        <f>IF(#REF!,"AAAAAH/6WRA=",0)</f>
        <v>#REF!</v>
      </c>
      <c r="R9" t="e">
        <f>AND(#REF!,"AAAAAH/6WRE=")</f>
        <v>#REF!</v>
      </c>
      <c r="S9" t="e">
        <f>AND(#REF!,"AAAAAH/6WRI=")</f>
        <v>#REF!</v>
      </c>
      <c r="T9" t="e">
        <f>AND(#REF!,"AAAAAH/6WRM=")</f>
        <v>#REF!</v>
      </c>
      <c r="U9" t="e">
        <f>AND(#REF!,"AAAAAH/6WRQ=")</f>
        <v>#REF!</v>
      </c>
      <c r="V9" t="e">
        <f>AND(#REF!,"AAAAAH/6WRU=")</f>
        <v>#REF!</v>
      </c>
      <c r="W9" t="e">
        <f>AND(#REF!,"AAAAAH/6WRY=")</f>
        <v>#REF!</v>
      </c>
      <c r="X9" t="e">
        <f>AND(#REF!,"AAAAAH/6WRc=")</f>
        <v>#REF!</v>
      </c>
      <c r="Y9" t="e">
        <f>AND(#REF!,"AAAAAH/6WRg=")</f>
        <v>#REF!</v>
      </c>
      <c r="Z9" t="e">
        <f>AND(#REF!,"AAAAAH/6WRk=")</f>
        <v>#REF!</v>
      </c>
      <c r="AA9" t="e">
        <f>AND(#REF!,"AAAAAH/6WRo=")</f>
        <v>#REF!</v>
      </c>
      <c r="AB9" t="e">
        <f>AND(#REF!,"AAAAAH/6WRs=")</f>
        <v>#REF!</v>
      </c>
      <c r="AC9" t="e">
        <f>AND(#REF!,"AAAAAH/6WRw=")</f>
        <v>#REF!</v>
      </c>
      <c r="AD9" t="e">
        <f>AND(#REF!,"AAAAAH/6WR0=")</f>
        <v>#REF!</v>
      </c>
      <c r="AE9" t="e">
        <f>AND(#REF!,"AAAAAH/6WR4=")</f>
        <v>#REF!</v>
      </c>
      <c r="AF9" t="e">
        <f>AND(#REF!,"AAAAAH/6WR8=")</f>
        <v>#REF!</v>
      </c>
      <c r="AG9" t="e">
        <f>AND(#REF!,"AAAAAH/6WSA=")</f>
        <v>#REF!</v>
      </c>
      <c r="AH9" t="e">
        <f>AND(#REF!,"AAAAAH/6WSE=")</f>
        <v>#REF!</v>
      </c>
      <c r="AI9" t="e">
        <f>AND(#REF!,"AAAAAH/6WSI=")</f>
        <v>#REF!</v>
      </c>
      <c r="AJ9" t="e">
        <f>IF(#REF!,"AAAAAH/6WSM=",0)</f>
        <v>#REF!</v>
      </c>
      <c r="AK9" t="e">
        <f>AND(#REF!,"AAAAAH/6WSQ=")</f>
        <v>#REF!</v>
      </c>
      <c r="AL9" t="e">
        <f>AND(#REF!,"AAAAAH/6WSU=")</f>
        <v>#REF!</v>
      </c>
      <c r="AM9" t="e">
        <f>AND(#REF!,"AAAAAH/6WSY=")</f>
        <v>#REF!</v>
      </c>
      <c r="AN9" t="e">
        <f>AND(#REF!,"AAAAAH/6WSc=")</f>
        <v>#REF!</v>
      </c>
      <c r="AO9" t="e">
        <f>AND(#REF!,"AAAAAH/6WSg=")</f>
        <v>#REF!</v>
      </c>
      <c r="AP9" t="e">
        <f>AND(#REF!,"AAAAAH/6WSk=")</f>
        <v>#REF!</v>
      </c>
      <c r="AQ9" t="e">
        <f>AND(#REF!,"AAAAAH/6WSo=")</f>
        <v>#REF!</v>
      </c>
      <c r="AR9" t="e">
        <f>AND(#REF!,"AAAAAH/6WSs=")</f>
        <v>#REF!</v>
      </c>
      <c r="AS9" t="e">
        <f>AND(#REF!,"AAAAAH/6WSw=")</f>
        <v>#REF!</v>
      </c>
      <c r="AT9" t="e">
        <f>AND(#REF!,"AAAAAH/6WS0=")</f>
        <v>#REF!</v>
      </c>
      <c r="AU9" t="e">
        <f>AND(#REF!,"AAAAAH/6WS4=")</f>
        <v>#REF!</v>
      </c>
      <c r="AV9" t="e">
        <f>AND(#REF!,"AAAAAH/6WS8=")</f>
        <v>#REF!</v>
      </c>
      <c r="AW9" t="e">
        <f>AND(#REF!,"AAAAAH/6WTA=")</f>
        <v>#REF!</v>
      </c>
      <c r="AX9" t="e">
        <f>AND(#REF!,"AAAAAH/6WTE=")</f>
        <v>#REF!</v>
      </c>
      <c r="AY9" t="e">
        <f>AND(#REF!,"AAAAAH/6WTI=")</f>
        <v>#REF!</v>
      </c>
      <c r="AZ9" t="e">
        <f>AND(#REF!,"AAAAAH/6WTM=")</f>
        <v>#REF!</v>
      </c>
      <c r="BA9" t="e">
        <f>AND(#REF!,"AAAAAH/6WTQ=")</f>
        <v>#REF!</v>
      </c>
      <c r="BB9" t="e">
        <f>AND(#REF!,"AAAAAH/6WTU=")</f>
        <v>#REF!</v>
      </c>
      <c r="BC9" t="e">
        <f>IF(#REF!,"AAAAAH/6WTY=",0)</f>
        <v>#REF!</v>
      </c>
      <c r="BD9" t="e">
        <f>AND(#REF!,"AAAAAH/6WTc=")</f>
        <v>#REF!</v>
      </c>
      <c r="BE9" t="e">
        <f>AND(#REF!,"AAAAAH/6WTg=")</f>
        <v>#REF!</v>
      </c>
      <c r="BF9" t="e">
        <f>AND(#REF!,"AAAAAH/6WTk=")</f>
        <v>#REF!</v>
      </c>
      <c r="BG9" t="e">
        <f>AND(#REF!,"AAAAAH/6WTo=")</f>
        <v>#REF!</v>
      </c>
      <c r="BH9" t="e">
        <f>AND(#REF!,"AAAAAH/6WTs=")</f>
        <v>#REF!</v>
      </c>
      <c r="BI9" t="e">
        <f>AND(#REF!,"AAAAAH/6WTw=")</f>
        <v>#REF!</v>
      </c>
      <c r="BJ9" t="e">
        <f>AND(#REF!,"AAAAAH/6WT0=")</f>
        <v>#REF!</v>
      </c>
      <c r="BK9" t="e">
        <f>AND(#REF!,"AAAAAH/6WT4=")</f>
        <v>#REF!</v>
      </c>
      <c r="BL9" t="e">
        <f>AND(#REF!,"AAAAAH/6WT8=")</f>
        <v>#REF!</v>
      </c>
      <c r="BM9" t="e">
        <f>AND(#REF!,"AAAAAH/6WUA=")</f>
        <v>#REF!</v>
      </c>
      <c r="BN9" t="e">
        <f>AND(#REF!,"AAAAAH/6WUE=")</f>
        <v>#REF!</v>
      </c>
      <c r="BO9" t="e">
        <f>AND(#REF!,"AAAAAH/6WUI=")</f>
        <v>#REF!</v>
      </c>
      <c r="BP9" t="e">
        <f>AND(#REF!,"AAAAAH/6WUM=")</f>
        <v>#REF!</v>
      </c>
      <c r="BQ9" t="e">
        <f>AND(#REF!,"AAAAAH/6WUQ=")</f>
        <v>#REF!</v>
      </c>
      <c r="BR9" t="e">
        <f>AND(#REF!,"AAAAAH/6WUU=")</f>
        <v>#REF!</v>
      </c>
      <c r="BS9" t="e">
        <f>AND(#REF!,"AAAAAH/6WUY=")</f>
        <v>#REF!</v>
      </c>
      <c r="BT9" t="e">
        <f>AND(#REF!,"AAAAAH/6WUc=")</f>
        <v>#REF!</v>
      </c>
      <c r="BU9" t="e">
        <f>AND(#REF!,"AAAAAH/6WUg=")</f>
        <v>#REF!</v>
      </c>
      <c r="BV9" t="e">
        <f>IF(#REF!,"AAAAAH/6WUk=",0)</f>
        <v>#REF!</v>
      </c>
      <c r="BW9" t="e">
        <f>AND(#REF!,"AAAAAH/6WUo=")</f>
        <v>#REF!</v>
      </c>
      <c r="BX9" t="e">
        <f>AND(#REF!,"AAAAAH/6WUs=")</f>
        <v>#REF!</v>
      </c>
      <c r="BY9" t="e">
        <f>AND(#REF!,"AAAAAH/6WUw=")</f>
        <v>#REF!</v>
      </c>
      <c r="BZ9" t="e">
        <f>AND(#REF!,"AAAAAH/6WU0=")</f>
        <v>#REF!</v>
      </c>
      <c r="CA9" t="e">
        <f>AND(#REF!,"AAAAAH/6WU4=")</f>
        <v>#REF!</v>
      </c>
      <c r="CB9" t="e">
        <f>AND(#REF!,"AAAAAH/6WU8=")</f>
        <v>#REF!</v>
      </c>
      <c r="CC9" t="e">
        <f>AND(#REF!,"AAAAAH/6WVA=")</f>
        <v>#REF!</v>
      </c>
      <c r="CD9" t="e">
        <f>AND(#REF!,"AAAAAH/6WVE=")</f>
        <v>#REF!</v>
      </c>
      <c r="CE9" t="e">
        <f>AND(#REF!,"AAAAAH/6WVI=")</f>
        <v>#REF!</v>
      </c>
      <c r="CF9" t="e">
        <f>AND(#REF!,"AAAAAH/6WVM=")</f>
        <v>#REF!</v>
      </c>
      <c r="CG9" t="e">
        <f>AND(#REF!,"AAAAAH/6WVQ=")</f>
        <v>#REF!</v>
      </c>
      <c r="CH9" t="e">
        <f>AND(#REF!,"AAAAAH/6WVU=")</f>
        <v>#REF!</v>
      </c>
      <c r="CI9" t="e">
        <f>AND(#REF!,"AAAAAH/6WVY=")</f>
        <v>#REF!</v>
      </c>
      <c r="CJ9" t="e">
        <f>AND(#REF!,"AAAAAH/6WVc=")</f>
        <v>#REF!</v>
      </c>
      <c r="CK9" t="e">
        <f>AND(#REF!,"AAAAAH/6WVg=")</f>
        <v>#REF!</v>
      </c>
      <c r="CL9" t="e">
        <f>AND(#REF!,"AAAAAH/6WVk=")</f>
        <v>#REF!</v>
      </c>
      <c r="CM9" t="e">
        <f>AND(#REF!,"AAAAAH/6WVo=")</f>
        <v>#REF!</v>
      </c>
      <c r="CN9" t="e">
        <f>AND(#REF!,"AAAAAH/6WVs=")</f>
        <v>#REF!</v>
      </c>
      <c r="CO9" t="e">
        <f>IF(#REF!,"AAAAAH/6WVw=",0)</f>
        <v>#REF!</v>
      </c>
      <c r="CP9" t="e">
        <f>AND(#REF!,"AAAAAH/6WV0=")</f>
        <v>#REF!</v>
      </c>
      <c r="CQ9" t="e">
        <f>AND(#REF!,"AAAAAH/6WV4=")</f>
        <v>#REF!</v>
      </c>
      <c r="CR9" t="e">
        <f>AND(#REF!,"AAAAAH/6WV8=")</f>
        <v>#REF!</v>
      </c>
      <c r="CS9" t="e">
        <f>AND(#REF!,"AAAAAH/6WWA=")</f>
        <v>#REF!</v>
      </c>
      <c r="CT9" t="e">
        <f>AND(#REF!,"AAAAAH/6WWE=")</f>
        <v>#REF!</v>
      </c>
      <c r="CU9" t="e">
        <f>AND(#REF!,"AAAAAH/6WWI=")</f>
        <v>#REF!</v>
      </c>
      <c r="CV9" t="e">
        <f>AND(#REF!,"AAAAAH/6WWM=")</f>
        <v>#REF!</v>
      </c>
      <c r="CW9" t="e">
        <f>AND(#REF!,"AAAAAH/6WWQ=")</f>
        <v>#REF!</v>
      </c>
      <c r="CX9" t="e">
        <f>AND(#REF!,"AAAAAH/6WWU=")</f>
        <v>#REF!</v>
      </c>
      <c r="CY9" t="e">
        <f>AND(#REF!,"AAAAAH/6WWY=")</f>
        <v>#REF!</v>
      </c>
      <c r="CZ9" t="e">
        <f>AND(#REF!,"AAAAAH/6WWc=")</f>
        <v>#REF!</v>
      </c>
      <c r="DA9" t="e">
        <f>AND(#REF!,"AAAAAH/6WWg=")</f>
        <v>#REF!</v>
      </c>
      <c r="DB9" t="e">
        <f>AND(#REF!,"AAAAAH/6WWk=")</f>
        <v>#REF!</v>
      </c>
      <c r="DC9" t="e">
        <f>AND(#REF!,"AAAAAH/6WWo=")</f>
        <v>#REF!</v>
      </c>
      <c r="DD9" t="e">
        <f>AND(#REF!,"AAAAAH/6WWs=")</f>
        <v>#REF!</v>
      </c>
      <c r="DE9" t="e">
        <f>AND(#REF!,"AAAAAH/6WWw=")</f>
        <v>#REF!</v>
      </c>
      <c r="DF9" t="e">
        <f>AND(#REF!,"AAAAAH/6WW0=")</f>
        <v>#REF!</v>
      </c>
      <c r="DG9" t="e">
        <f>AND(#REF!,"AAAAAH/6WW4=")</f>
        <v>#REF!</v>
      </c>
      <c r="DH9" t="e">
        <f>IF(#REF!,"AAAAAH/6WW8=",0)</f>
        <v>#REF!</v>
      </c>
      <c r="DI9" t="e">
        <f>AND(#REF!,"AAAAAH/6WXA=")</f>
        <v>#REF!</v>
      </c>
      <c r="DJ9" t="e">
        <f>AND(#REF!,"AAAAAH/6WXE=")</f>
        <v>#REF!</v>
      </c>
      <c r="DK9" t="e">
        <f>AND(#REF!,"AAAAAH/6WXI=")</f>
        <v>#REF!</v>
      </c>
      <c r="DL9" t="e">
        <f>AND(#REF!,"AAAAAH/6WXM=")</f>
        <v>#REF!</v>
      </c>
      <c r="DM9" t="e">
        <f>AND(#REF!,"AAAAAH/6WXQ=")</f>
        <v>#REF!</v>
      </c>
      <c r="DN9" t="e">
        <f>AND(#REF!,"AAAAAH/6WXU=")</f>
        <v>#REF!</v>
      </c>
      <c r="DO9" t="e">
        <f>AND(#REF!,"AAAAAH/6WXY=")</f>
        <v>#REF!</v>
      </c>
      <c r="DP9" t="e">
        <f>AND(#REF!,"AAAAAH/6WXc=")</f>
        <v>#REF!</v>
      </c>
      <c r="DQ9" t="e">
        <f>AND(#REF!,"AAAAAH/6WXg=")</f>
        <v>#REF!</v>
      </c>
      <c r="DR9" t="e">
        <f>AND(#REF!,"AAAAAH/6WXk=")</f>
        <v>#REF!</v>
      </c>
      <c r="DS9" t="e">
        <f>AND(#REF!,"AAAAAH/6WXo=")</f>
        <v>#REF!</v>
      </c>
      <c r="DT9" t="e">
        <f>AND(#REF!,"AAAAAH/6WXs=")</f>
        <v>#REF!</v>
      </c>
      <c r="DU9" t="e">
        <f>AND(#REF!,"AAAAAH/6WXw=")</f>
        <v>#REF!</v>
      </c>
      <c r="DV9" t="e">
        <f>AND(#REF!,"AAAAAH/6WX0=")</f>
        <v>#REF!</v>
      </c>
      <c r="DW9" t="e">
        <f>AND(#REF!,"AAAAAH/6WX4=")</f>
        <v>#REF!</v>
      </c>
      <c r="DX9" t="e">
        <f>AND(#REF!,"AAAAAH/6WX8=")</f>
        <v>#REF!</v>
      </c>
      <c r="DY9" t="e">
        <f>AND(#REF!,"AAAAAH/6WYA=")</f>
        <v>#REF!</v>
      </c>
      <c r="DZ9" t="e">
        <f>AND(#REF!,"AAAAAH/6WYE=")</f>
        <v>#REF!</v>
      </c>
      <c r="EA9" t="e">
        <f>IF(#REF!,"AAAAAH/6WYI=",0)</f>
        <v>#REF!</v>
      </c>
      <c r="EB9" t="e">
        <f>AND(#REF!,"AAAAAH/6WYM=")</f>
        <v>#REF!</v>
      </c>
      <c r="EC9" t="e">
        <f>AND(#REF!,"AAAAAH/6WYQ=")</f>
        <v>#REF!</v>
      </c>
      <c r="ED9" t="e">
        <f>AND(#REF!,"AAAAAH/6WYU=")</f>
        <v>#REF!</v>
      </c>
      <c r="EE9" t="e">
        <f>AND(#REF!,"AAAAAH/6WYY=")</f>
        <v>#REF!</v>
      </c>
      <c r="EF9" t="e">
        <f>AND(#REF!,"AAAAAH/6WYc=")</f>
        <v>#REF!</v>
      </c>
      <c r="EG9" t="e">
        <f>AND(#REF!,"AAAAAH/6WYg=")</f>
        <v>#REF!</v>
      </c>
      <c r="EH9" t="e">
        <f>AND(#REF!,"AAAAAH/6WYk=")</f>
        <v>#REF!</v>
      </c>
      <c r="EI9" t="e">
        <f>AND(#REF!,"AAAAAH/6WYo=")</f>
        <v>#REF!</v>
      </c>
      <c r="EJ9" t="e">
        <f>AND(#REF!,"AAAAAH/6WYs=")</f>
        <v>#REF!</v>
      </c>
      <c r="EK9" t="e">
        <f>AND(#REF!,"AAAAAH/6WYw=")</f>
        <v>#REF!</v>
      </c>
      <c r="EL9" t="e">
        <f>AND(#REF!,"AAAAAH/6WY0=")</f>
        <v>#REF!</v>
      </c>
      <c r="EM9" t="e">
        <f>AND(#REF!,"AAAAAH/6WY4=")</f>
        <v>#REF!</v>
      </c>
      <c r="EN9" t="e">
        <f>AND(#REF!,"AAAAAH/6WY8=")</f>
        <v>#REF!</v>
      </c>
      <c r="EO9" t="e">
        <f>AND(#REF!,"AAAAAH/6WZA=")</f>
        <v>#REF!</v>
      </c>
      <c r="EP9" t="e">
        <f>AND(#REF!,"AAAAAH/6WZE=")</f>
        <v>#REF!</v>
      </c>
      <c r="EQ9" t="e">
        <f>AND(#REF!,"AAAAAH/6WZI=")</f>
        <v>#REF!</v>
      </c>
      <c r="ER9" t="e">
        <f>AND(#REF!,"AAAAAH/6WZM=")</f>
        <v>#REF!</v>
      </c>
      <c r="ES9" t="e">
        <f>AND(#REF!,"AAAAAH/6WZQ=")</f>
        <v>#REF!</v>
      </c>
      <c r="ET9" t="e">
        <f>IF(#REF!,"AAAAAH/6WZU=",0)</f>
        <v>#REF!</v>
      </c>
      <c r="EU9" t="e">
        <f>AND(#REF!,"AAAAAH/6WZY=")</f>
        <v>#REF!</v>
      </c>
      <c r="EV9" t="e">
        <f>AND(#REF!,"AAAAAH/6WZc=")</f>
        <v>#REF!</v>
      </c>
      <c r="EW9" t="e">
        <f>AND(#REF!,"AAAAAH/6WZg=")</f>
        <v>#REF!</v>
      </c>
      <c r="EX9" t="e">
        <f>AND(#REF!,"AAAAAH/6WZk=")</f>
        <v>#REF!</v>
      </c>
      <c r="EY9" t="e">
        <f>AND(#REF!,"AAAAAH/6WZo=")</f>
        <v>#REF!</v>
      </c>
      <c r="EZ9" t="e">
        <f>AND(#REF!,"AAAAAH/6WZs=")</f>
        <v>#REF!</v>
      </c>
      <c r="FA9" t="e">
        <f>AND(#REF!,"AAAAAH/6WZw=")</f>
        <v>#REF!</v>
      </c>
      <c r="FB9" t="e">
        <f>AND(#REF!,"AAAAAH/6WZ0=")</f>
        <v>#REF!</v>
      </c>
      <c r="FC9" t="e">
        <f>AND(#REF!,"AAAAAH/6WZ4=")</f>
        <v>#REF!</v>
      </c>
      <c r="FD9" t="e">
        <f>AND(#REF!,"AAAAAH/6WZ8=")</f>
        <v>#REF!</v>
      </c>
      <c r="FE9" t="e">
        <f>AND(#REF!,"AAAAAH/6WaA=")</f>
        <v>#REF!</v>
      </c>
      <c r="FF9" t="e">
        <f>AND(#REF!,"AAAAAH/6WaE=")</f>
        <v>#REF!</v>
      </c>
      <c r="FG9" t="e">
        <f>AND(#REF!,"AAAAAH/6WaI=")</f>
        <v>#REF!</v>
      </c>
      <c r="FH9" t="e">
        <f>AND(#REF!,"AAAAAH/6WaM=")</f>
        <v>#REF!</v>
      </c>
      <c r="FI9" t="e">
        <f>AND(#REF!,"AAAAAH/6WaQ=")</f>
        <v>#REF!</v>
      </c>
      <c r="FJ9" t="e">
        <f>AND(#REF!,"AAAAAH/6WaU=")</f>
        <v>#REF!</v>
      </c>
      <c r="FK9" t="e">
        <f>AND(#REF!,"AAAAAH/6WaY=")</f>
        <v>#REF!</v>
      </c>
      <c r="FL9" t="e">
        <f>AND(#REF!,"AAAAAH/6Wac=")</f>
        <v>#REF!</v>
      </c>
      <c r="FM9" t="e">
        <f>IF(#REF!,"AAAAAH/6Wag=",0)</f>
        <v>#REF!</v>
      </c>
      <c r="FN9" t="e">
        <f>AND(#REF!,"AAAAAH/6Wak=")</f>
        <v>#REF!</v>
      </c>
      <c r="FO9" t="e">
        <f>AND(#REF!,"AAAAAH/6Wao=")</f>
        <v>#REF!</v>
      </c>
      <c r="FP9" t="e">
        <f>AND(#REF!,"AAAAAH/6Was=")</f>
        <v>#REF!</v>
      </c>
      <c r="FQ9" t="e">
        <f>AND(#REF!,"AAAAAH/6Waw=")</f>
        <v>#REF!</v>
      </c>
      <c r="FR9" t="e">
        <f>AND(#REF!,"AAAAAH/6Wa0=")</f>
        <v>#REF!</v>
      </c>
      <c r="FS9" t="e">
        <f>AND(#REF!,"AAAAAH/6Wa4=")</f>
        <v>#REF!</v>
      </c>
      <c r="FT9" t="e">
        <f>AND(#REF!,"AAAAAH/6Wa8=")</f>
        <v>#REF!</v>
      </c>
      <c r="FU9" t="e">
        <f>AND(#REF!,"AAAAAH/6WbA=")</f>
        <v>#REF!</v>
      </c>
      <c r="FV9" t="e">
        <f>AND(#REF!,"AAAAAH/6WbE=")</f>
        <v>#REF!</v>
      </c>
      <c r="FW9" t="e">
        <f>AND(#REF!,"AAAAAH/6WbI=")</f>
        <v>#REF!</v>
      </c>
      <c r="FX9" t="e">
        <f>AND(#REF!,"AAAAAH/6WbM=")</f>
        <v>#REF!</v>
      </c>
      <c r="FY9" t="e">
        <f>AND(#REF!,"AAAAAH/6WbQ=")</f>
        <v>#REF!</v>
      </c>
      <c r="FZ9" t="e">
        <f>AND(#REF!,"AAAAAH/6WbU=")</f>
        <v>#REF!</v>
      </c>
      <c r="GA9" t="e">
        <f>AND(#REF!,"AAAAAH/6WbY=")</f>
        <v>#REF!</v>
      </c>
      <c r="GB9" t="e">
        <f>AND(#REF!,"AAAAAH/6Wbc=")</f>
        <v>#REF!</v>
      </c>
      <c r="GC9" t="e">
        <f>AND(#REF!,"AAAAAH/6Wbg=")</f>
        <v>#REF!</v>
      </c>
      <c r="GD9" t="e">
        <f>AND(#REF!,"AAAAAH/6Wbk=")</f>
        <v>#REF!</v>
      </c>
      <c r="GE9" t="e">
        <f>AND(#REF!,"AAAAAH/6Wbo=")</f>
        <v>#REF!</v>
      </c>
      <c r="GF9" t="e">
        <f>IF(#REF!,"AAAAAH/6Wbs=",0)</f>
        <v>#REF!</v>
      </c>
      <c r="GG9" t="e">
        <f>AND(#REF!,"AAAAAH/6Wbw=")</f>
        <v>#REF!</v>
      </c>
      <c r="GH9" t="e">
        <f>AND(#REF!,"AAAAAH/6Wb0=")</f>
        <v>#REF!</v>
      </c>
      <c r="GI9" t="e">
        <f>AND(#REF!,"AAAAAH/6Wb4=")</f>
        <v>#REF!</v>
      </c>
      <c r="GJ9" t="e">
        <f>AND(#REF!,"AAAAAH/6Wb8=")</f>
        <v>#REF!</v>
      </c>
      <c r="GK9" t="e">
        <f>AND(#REF!,"AAAAAH/6WcA=")</f>
        <v>#REF!</v>
      </c>
      <c r="GL9" t="e">
        <f>AND(#REF!,"AAAAAH/6WcE=")</f>
        <v>#REF!</v>
      </c>
      <c r="GM9" t="e">
        <f>AND(#REF!,"AAAAAH/6WcI=")</f>
        <v>#REF!</v>
      </c>
      <c r="GN9" t="e">
        <f>AND(#REF!,"AAAAAH/6WcM=")</f>
        <v>#REF!</v>
      </c>
      <c r="GO9" t="e">
        <f>AND(#REF!,"AAAAAH/6WcQ=")</f>
        <v>#REF!</v>
      </c>
      <c r="GP9" t="e">
        <f>AND(#REF!,"AAAAAH/6WcU=")</f>
        <v>#REF!</v>
      </c>
      <c r="GQ9" t="e">
        <f>AND(#REF!,"AAAAAH/6WcY=")</f>
        <v>#REF!</v>
      </c>
      <c r="GR9" t="e">
        <f>AND(#REF!,"AAAAAH/6Wcc=")</f>
        <v>#REF!</v>
      </c>
      <c r="GS9" t="e">
        <f>AND(#REF!,"AAAAAH/6Wcg=")</f>
        <v>#REF!</v>
      </c>
      <c r="GT9" t="e">
        <f>AND(#REF!,"AAAAAH/6Wck=")</f>
        <v>#REF!</v>
      </c>
      <c r="GU9" t="e">
        <f>AND(#REF!,"AAAAAH/6Wco=")</f>
        <v>#REF!</v>
      </c>
      <c r="GV9" t="e">
        <f>AND(#REF!,"AAAAAH/6Wcs=")</f>
        <v>#REF!</v>
      </c>
      <c r="GW9" t="e">
        <f>AND(#REF!,"AAAAAH/6Wcw=")</f>
        <v>#REF!</v>
      </c>
      <c r="GX9" t="e">
        <f>AND(#REF!,"AAAAAH/6Wc0=")</f>
        <v>#REF!</v>
      </c>
      <c r="GY9" t="e">
        <f>IF(#REF!,"AAAAAH/6Wc4=",0)</f>
        <v>#REF!</v>
      </c>
      <c r="GZ9" t="e">
        <f>AND(#REF!,"AAAAAH/6Wc8=")</f>
        <v>#REF!</v>
      </c>
      <c r="HA9" t="e">
        <f>AND(#REF!,"AAAAAH/6WdA=")</f>
        <v>#REF!</v>
      </c>
      <c r="HB9" t="e">
        <f>AND(#REF!,"AAAAAH/6WdE=")</f>
        <v>#REF!</v>
      </c>
      <c r="HC9" t="e">
        <f>AND(#REF!,"AAAAAH/6WdI=")</f>
        <v>#REF!</v>
      </c>
      <c r="HD9" t="e">
        <f>AND(#REF!,"AAAAAH/6WdM=")</f>
        <v>#REF!</v>
      </c>
      <c r="HE9" t="e">
        <f>AND(#REF!,"AAAAAH/6WdQ=")</f>
        <v>#REF!</v>
      </c>
      <c r="HF9" t="e">
        <f>AND(#REF!,"AAAAAH/6WdU=")</f>
        <v>#REF!</v>
      </c>
      <c r="HG9" t="e">
        <f>AND(#REF!,"AAAAAH/6WdY=")</f>
        <v>#REF!</v>
      </c>
      <c r="HH9" t="e">
        <f>AND(#REF!,"AAAAAH/6Wdc=")</f>
        <v>#REF!</v>
      </c>
      <c r="HI9" t="e">
        <f>AND(#REF!,"AAAAAH/6Wdg=")</f>
        <v>#REF!</v>
      </c>
      <c r="HJ9" t="e">
        <f>AND(#REF!,"AAAAAH/6Wdk=")</f>
        <v>#REF!</v>
      </c>
      <c r="HK9" t="e">
        <f>AND(#REF!,"AAAAAH/6Wdo=")</f>
        <v>#REF!</v>
      </c>
      <c r="HL9" t="e">
        <f>AND(#REF!,"AAAAAH/6Wds=")</f>
        <v>#REF!</v>
      </c>
      <c r="HM9" t="e">
        <f>AND(#REF!,"AAAAAH/6Wdw=")</f>
        <v>#REF!</v>
      </c>
      <c r="HN9" t="e">
        <f>AND(#REF!,"AAAAAH/6Wd0=")</f>
        <v>#REF!</v>
      </c>
      <c r="HO9" t="e">
        <f>AND(#REF!,"AAAAAH/6Wd4=")</f>
        <v>#REF!</v>
      </c>
      <c r="HP9" t="e">
        <f>AND(#REF!,"AAAAAH/6Wd8=")</f>
        <v>#REF!</v>
      </c>
      <c r="HQ9" t="e">
        <f>AND(#REF!,"AAAAAH/6WeA=")</f>
        <v>#REF!</v>
      </c>
      <c r="HR9" t="e">
        <f>IF(#REF!,"AAAAAH/6WeE=",0)</f>
        <v>#REF!</v>
      </c>
      <c r="HS9" t="e">
        <f>AND(#REF!,"AAAAAH/6WeI=")</f>
        <v>#REF!</v>
      </c>
      <c r="HT9" t="e">
        <f>AND(#REF!,"AAAAAH/6WeM=")</f>
        <v>#REF!</v>
      </c>
      <c r="HU9" t="e">
        <f>AND(#REF!,"AAAAAH/6WeQ=")</f>
        <v>#REF!</v>
      </c>
      <c r="HV9" t="e">
        <f>AND(#REF!,"AAAAAH/6WeU=")</f>
        <v>#REF!</v>
      </c>
      <c r="HW9" t="e">
        <f>AND(#REF!,"AAAAAH/6WeY=")</f>
        <v>#REF!</v>
      </c>
      <c r="HX9" t="e">
        <f>AND(#REF!,"AAAAAH/6Wec=")</f>
        <v>#REF!</v>
      </c>
      <c r="HY9" t="e">
        <f>AND(#REF!,"AAAAAH/6Weg=")</f>
        <v>#REF!</v>
      </c>
      <c r="HZ9" t="e">
        <f>AND(#REF!,"AAAAAH/6Wek=")</f>
        <v>#REF!</v>
      </c>
      <c r="IA9" t="e">
        <f>AND(#REF!,"AAAAAH/6Weo=")</f>
        <v>#REF!</v>
      </c>
      <c r="IB9" t="e">
        <f>AND(#REF!,"AAAAAH/6Wes=")</f>
        <v>#REF!</v>
      </c>
      <c r="IC9" t="e">
        <f>AND(#REF!,"AAAAAH/6Wew=")</f>
        <v>#REF!</v>
      </c>
      <c r="ID9" t="e">
        <f>AND(#REF!,"AAAAAH/6We0=")</f>
        <v>#REF!</v>
      </c>
      <c r="IE9" t="e">
        <f>AND(#REF!,"AAAAAH/6We4=")</f>
        <v>#REF!</v>
      </c>
      <c r="IF9" t="e">
        <f>AND(#REF!,"AAAAAH/6We8=")</f>
        <v>#REF!</v>
      </c>
      <c r="IG9" t="e">
        <f>AND(#REF!,"AAAAAH/6WfA=")</f>
        <v>#REF!</v>
      </c>
      <c r="IH9" t="e">
        <f>AND(#REF!,"AAAAAH/6WfE=")</f>
        <v>#REF!</v>
      </c>
      <c r="II9" t="e">
        <f>AND(#REF!,"AAAAAH/6WfI=")</f>
        <v>#REF!</v>
      </c>
      <c r="IJ9" t="e">
        <f>AND(#REF!,"AAAAAH/6WfM=")</f>
        <v>#REF!</v>
      </c>
      <c r="IK9" t="e">
        <f>IF(#REF!,"AAAAAH/6WfQ=",0)</f>
        <v>#REF!</v>
      </c>
      <c r="IL9" t="e">
        <f>AND(#REF!,"AAAAAH/6WfU=")</f>
        <v>#REF!</v>
      </c>
      <c r="IM9" t="e">
        <f>AND(#REF!,"AAAAAH/6WfY=")</f>
        <v>#REF!</v>
      </c>
      <c r="IN9" t="e">
        <f>AND(#REF!,"AAAAAH/6Wfc=")</f>
        <v>#REF!</v>
      </c>
      <c r="IO9" t="e">
        <f>AND(#REF!,"AAAAAH/6Wfg=")</f>
        <v>#REF!</v>
      </c>
      <c r="IP9" t="e">
        <f>AND(#REF!,"AAAAAH/6Wfk=")</f>
        <v>#REF!</v>
      </c>
      <c r="IQ9" t="e">
        <f>AND(#REF!,"AAAAAH/6Wfo=")</f>
        <v>#REF!</v>
      </c>
      <c r="IR9" t="e">
        <f>AND(#REF!,"AAAAAH/6Wfs=")</f>
        <v>#REF!</v>
      </c>
      <c r="IS9" t="e">
        <f>AND(#REF!,"AAAAAH/6Wfw=")</f>
        <v>#REF!</v>
      </c>
      <c r="IT9" t="e">
        <f>AND(#REF!,"AAAAAH/6Wf0=")</f>
        <v>#REF!</v>
      </c>
      <c r="IU9" t="e">
        <f>AND(#REF!,"AAAAAH/6Wf4=")</f>
        <v>#REF!</v>
      </c>
      <c r="IV9" t="e">
        <f>AND(#REF!,"AAAAAH/6Wf8=")</f>
        <v>#REF!</v>
      </c>
    </row>
    <row r="10" spans="1:256" ht="12.75">
      <c r="A10" t="e">
        <f>AND(#REF!,"AAAAAH/16QA=")</f>
        <v>#REF!</v>
      </c>
      <c r="B10" t="e">
        <f>AND(#REF!,"AAAAAH/16QE=")</f>
        <v>#REF!</v>
      </c>
      <c r="C10" t="e">
        <f>AND(#REF!,"AAAAAH/16QI=")</f>
        <v>#REF!</v>
      </c>
      <c r="D10" t="e">
        <f>AND(#REF!,"AAAAAH/16QM=")</f>
        <v>#REF!</v>
      </c>
      <c r="E10" t="e">
        <f>AND(#REF!,"AAAAAH/16QQ=")</f>
        <v>#REF!</v>
      </c>
      <c r="F10" t="e">
        <f>AND(#REF!,"AAAAAH/16QU=")</f>
        <v>#REF!</v>
      </c>
      <c r="G10" t="e">
        <f>AND(#REF!,"AAAAAH/16QY=")</f>
        <v>#REF!</v>
      </c>
      <c r="H10" t="e">
        <f>IF(#REF!,"AAAAAH/16Qc=",0)</f>
        <v>#REF!</v>
      </c>
      <c r="I10" t="e">
        <f>AND(#REF!,"AAAAAH/16Qg=")</f>
        <v>#REF!</v>
      </c>
      <c r="J10" t="e">
        <f>AND(#REF!,"AAAAAH/16Qk=")</f>
        <v>#REF!</v>
      </c>
      <c r="K10" t="e">
        <f>AND(#REF!,"AAAAAH/16Qo=")</f>
        <v>#REF!</v>
      </c>
      <c r="L10" t="e">
        <f>AND(#REF!,"AAAAAH/16Qs=")</f>
        <v>#REF!</v>
      </c>
      <c r="M10" t="e">
        <f>AND(#REF!,"AAAAAH/16Qw=")</f>
        <v>#REF!</v>
      </c>
      <c r="N10" t="e">
        <f>AND(#REF!,"AAAAAH/16Q0=")</f>
        <v>#REF!</v>
      </c>
      <c r="O10" t="e">
        <f>AND(#REF!,"AAAAAH/16Q4=")</f>
        <v>#REF!</v>
      </c>
      <c r="P10" t="e">
        <f>AND(#REF!,"AAAAAH/16Q8=")</f>
        <v>#REF!</v>
      </c>
      <c r="Q10" t="e">
        <f>AND(#REF!,"AAAAAH/16RA=")</f>
        <v>#REF!</v>
      </c>
      <c r="R10" t="e">
        <f>AND(#REF!,"AAAAAH/16RE=")</f>
        <v>#REF!</v>
      </c>
      <c r="S10" t="e">
        <f>AND(#REF!,"AAAAAH/16RI=")</f>
        <v>#REF!</v>
      </c>
      <c r="T10" t="e">
        <f>AND(#REF!,"AAAAAH/16RM=")</f>
        <v>#REF!</v>
      </c>
      <c r="U10" t="e">
        <f>AND(#REF!,"AAAAAH/16RQ=")</f>
        <v>#REF!</v>
      </c>
      <c r="V10" t="e">
        <f>AND(#REF!,"AAAAAH/16RU=")</f>
        <v>#REF!</v>
      </c>
      <c r="W10" t="e">
        <f>AND(#REF!,"AAAAAH/16RY=")</f>
        <v>#REF!</v>
      </c>
      <c r="X10" t="e">
        <f>AND(#REF!,"AAAAAH/16Rc=")</f>
        <v>#REF!</v>
      </c>
      <c r="Y10" t="e">
        <f>AND(#REF!,"AAAAAH/16Rg=")</f>
        <v>#REF!</v>
      </c>
      <c r="Z10" t="e">
        <f>AND(#REF!,"AAAAAH/16Rk=")</f>
        <v>#REF!</v>
      </c>
      <c r="AA10" t="e">
        <f>IF(#REF!,"AAAAAH/16Ro=",0)</f>
        <v>#REF!</v>
      </c>
      <c r="AB10" t="e">
        <f>AND(#REF!,"AAAAAH/16Rs=")</f>
        <v>#REF!</v>
      </c>
      <c r="AC10" t="e">
        <f>AND(#REF!,"AAAAAH/16Rw=")</f>
        <v>#REF!</v>
      </c>
      <c r="AD10" t="e">
        <f>AND(#REF!,"AAAAAH/16R0=")</f>
        <v>#REF!</v>
      </c>
      <c r="AE10" t="e">
        <f>AND(#REF!,"AAAAAH/16R4=")</f>
        <v>#REF!</v>
      </c>
      <c r="AF10" t="e">
        <f>AND(#REF!,"AAAAAH/16R8=")</f>
        <v>#REF!</v>
      </c>
      <c r="AG10" t="e">
        <f>AND(#REF!,"AAAAAH/16SA=")</f>
        <v>#REF!</v>
      </c>
      <c r="AH10" t="e">
        <f>AND(#REF!,"AAAAAH/16SE=")</f>
        <v>#REF!</v>
      </c>
      <c r="AI10" t="e">
        <f>AND(#REF!,"AAAAAH/16SI=")</f>
        <v>#REF!</v>
      </c>
      <c r="AJ10" t="e">
        <f>AND(#REF!,"AAAAAH/16SM=")</f>
        <v>#REF!</v>
      </c>
      <c r="AK10" t="e">
        <f>AND(#REF!,"AAAAAH/16SQ=")</f>
        <v>#REF!</v>
      </c>
      <c r="AL10" t="e">
        <f>AND(#REF!,"AAAAAH/16SU=")</f>
        <v>#REF!</v>
      </c>
      <c r="AM10" t="e">
        <f>AND(#REF!,"AAAAAH/16SY=")</f>
        <v>#REF!</v>
      </c>
      <c r="AN10" t="e">
        <f>AND(#REF!,"AAAAAH/16Sc=")</f>
        <v>#REF!</v>
      </c>
      <c r="AO10" t="e">
        <f>AND(#REF!,"AAAAAH/16Sg=")</f>
        <v>#REF!</v>
      </c>
      <c r="AP10" t="e">
        <f>AND(#REF!,"AAAAAH/16Sk=")</f>
        <v>#REF!</v>
      </c>
      <c r="AQ10" t="e">
        <f>AND(#REF!,"AAAAAH/16So=")</f>
        <v>#REF!</v>
      </c>
      <c r="AR10" t="e">
        <f>AND(#REF!,"AAAAAH/16Ss=")</f>
        <v>#REF!</v>
      </c>
      <c r="AS10" t="e">
        <f>AND(#REF!,"AAAAAH/16Sw=")</f>
        <v>#REF!</v>
      </c>
      <c r="AT10" t="e">
        <f>IF(#REF!,"AAAAAH/16S0=",0)</f>
        <v>#REF!</v>
      </c>
      <c r="AU10" t="e">
        <f>AND(#REF!,"AAAAAH/16S4=")</f>
        <v>#REF!</v>
      </c>
      <c r="AV10" t="e">
        <f>AND(#REF!,"AAAAAH/16S8=")</f>
        <v>#REF!</v>
      </c>
      <c r="AW10" t="e">
        <f>AND(#REF!,"AAAAAH/16TA=")</f>
        <v>#REF!</v>
      </c>
      <c r="AX10" t="e">
        <f>AND(#REF!,"AAAAAH/16TE=")</f>
        <v>#REF!</v>
      </c>
      <c r="AY10" t="e">
        <f>AND(#REF!,"AAAAAH/16TI=")</f>
        <v>#REF!</v>
      </c>
      <c r="AZ10" t="e">
        <f>AND(#REF!,"AAAAAH/16TM=")</f>
        <v>#REF!</v>
      </c>
      <c r="BA10" t="e">
        <f>AND(#REF!,"AAAAAH/16TQ=")</f>
        <v>#REF!</v>
      </c>
      <c r="BB10" t="e">
        <f>AND(#REF!,"AAAAAH/16TU=")</f>
        <v>#REF!</v>
      </c>
      <c r="BC10" t="e">
        <f>AND(#REF!,"AAAAAH/16TY=")</f>
        <v>#REF!</v>
      </c>
      <c r="BD10" t="e">
        <f>AND(#REF!,"AAAAAH/16Tc=")</f>
        <v>#REF!</v>
      </c>
      <c r="BE10" t="e">
        <f>AND(#REF!,"AAAAAH/16Tg=")</f>
        <v>#REF!</v>
      </c>
      <c r="BF10" t="e">
        <f>AND(#REF!,"AAAAAH/16Tk=")</f>
        <v>#REF!</v>
      </c>
      <c r="BG10" t="e">
        <f>AND(#REF!,"AAAAAH/16To=")</f>
        <v>#REF!</v>
      </c>
      <c r="BH10" t="e">
        <f>AND(#REF!,"AAAAAH/16Ts=")</f>
        <v>#REF!</v>
      </c>
      <c r="BI10" t="e">
        <f>AND(#REF!,"AAAAAH/16Tw=")</f>
        <v>#REF!</v>
      </c>
      <c r="BJ10" t="e">
        <f>AND(#REF!,"AAAAAH/16T0=")</f>
        <v>#REF!</v>
      </c>
      <c r="BK10" t="e">
        <f>AND(#REF!,"AAAAAH/16T4=")</f>
        <v>#REF!</v>
      </c>
      <c r="BL10" t="e">
        <f>AND(#REF!,"AAAAAH/16T8=")</f>
        <v>#REF!</v>
      </c>
      <c r="BM10" t="e">
        <f>IF(#REF!,"AAAAAH/16UA=",0)</f>
        <v>#REF!</v>
      </c>
      <c r="BN10" t="e">
        <f>AND(#REF!,"AAAAAH/16UE=")</f>
        <v>#REF!</v>
      </c>
      <c r="BO10" t="e">
        <f>AND(#REF!,"AAAAAH/16UI=")</f>
        <v>#REF!</v>
      </c>
      <c r="BP10" t="e">
        <f>AND(#REF!,"AAAAAH/16UM=")</f>
        <v>#REF!</v>
      </c>
      <c r="BQ10" t="e">
        <f>AND(#REF!,"AAAAAH/16UQ=")</f>
        <v>#REF!</v>
      </c>
      <c r="BR10" t="e">
        <f>AND(#REF!,"AAAAAH/16UU=")</f>
        <v>#REF!</v>
      </c>
      <c r="BS10" t="e">
        <f>AND(#REF!,"AAAAAH/16UY=")</f>
        <v>#REF!</v>
      </c>
      <c r="BT10" t="e">
        <f>AND(#REF!,"AAAAAH/16Uc=")</f>
        <v>#REF!</v>
      </c>
      <c r="BU10" t="e">
        <f>AND(#REF!,"AAAAAH/16Ug=")</f>
        <v>#REF!</v>
      </c>
      <c r="BV10" t="e">
        <f>AND(#REF!,"AAAAAH/16Uk=")</f>
        <v>#REF!</v>
      </c>
      <c r="BW10" t="e">
        <f>AND(#REF!,"AAAAAH/16Uo=")</f>
        <v>#REF!</v>
      </c>
      <c r="BX10" t="e">
        <f>AND(#REF!,"AAAAAH/16Us=")</f>
        <v>#REF!</v>
      </c>
      <c r="BY10" t="e">
        <f>AND(#REF!,"AAAAAH/16Uw=")</f>
        <v>#REF!</v>
      </c>
      <c r="BZ10" t="e">
        <f>AND(#REF!,"AAAAAH/16U0=")</f>
        <v>#REF!</v>
      </c>
      <c r="CA10" t="e">
        <f>AND(#REF!,"AAAAAH/16U4=")</f>
        <v>#REF!</v>
      </c>
      <c r="CB10" t="e">
        <f>AND(#REF!,"AAAAAH/16U8=")</f>
        <v>#REF!</v>
      </c>
      <c r="CC10" t="e">
        <f>AND(#REF!,"AAAAAH/16VA=")</f>
        <v>#REF!</v>
      </c>
      <c r="CD10" t="e">
        <f>AND(#REF!,"AAAAAH/16VE=")</f>
        <v>#REF!</v>
      </c>
      <c r="CE10" t="e">
        <f>AND(#REF!,"AAAAAH/16VI=")</f>
        <v>#REF!</v>
      </c>
      <c r="CF10" t="e">
        <f>IF(#REF!,"AAAAAH/16VM=",0)</f>
        <v>#REF!</v>
      </c>
      <c r="CG10" t="e">
        <f>AND(#REF!,"AAAAAH/16VQ=")</f>
        <v>#REF!</v>
      </c>
      <c r="CH10" t="e">
        <f>AND(#REF!,"AAAAAH/16VU=")</f>
        <v>#REF!</v>
      </c>
      <c r="CI10" t="e">
        <f>AND(#REF!,"AAAAAH/16VY=")</f>
        <v>#REF!</v>
      </c>
      <c r="CJ10" t="e">
        <f>AND(#REF!,"AAAAAH/16Vc=")</f>
        <v>#REF!</v>
      </c>
      <c r="CK10" t="e">
        <f>AND(#REF!,"AAAAAH/16Vg=")</f>
        <v>#REF!</v>
      </c>
      <c r="CL10" t="e">
        <f>AND(#REF!,"AAAAAH/16Vk=")</f>
        <v>#REF!</v>
      </c>
      <c r="CM10" t="e">
        <f>AND(#REF!,"AAAAAH/16Vo=")</f>
        <v>#REF!</v>
      </c>
      <c r="CN10" t="e">
        <f>AND(#REF!,"AAAAAH/16Vs=")</f>
        <v>#REF!</v>
      </c>
      <c r="CO10" t="e">
        <f>AND(#REF!,"AAAAAH/16Vw=")</f>
        <v>#REF!</v>
      </c>
      <c r="CP10" t="e">
        <f>AND(#REF!,"AAAAAH/16V0=")</f>
        <v>#REF!</v>
      </c>
      <c r="CQ10" t="e">
        <f>AND(#REF!,"AAAAAH/16V4=")</f>
        <v>#REF!</v>
      </c>
      <c r="CR10" t="e">
        <f>AND(#REF!,"AAAAAH/16V8=")</f>
        <v>#REF!</v>
      </c>
      <c r="CS10" t="e">
        <f>AND(#REF!,"AAAAAH/16WA=")</f>
        <v>#REF!</v>
      </c>
      <c r="CT10" t="e">
        <f>AND(#REF!,"AAAAAH/16WE=")</f>
        <v>#REF!</v>
      </c>
      <c r="CU10" t="e">
        <f>AND(#REF!,"AAAAAH/16WI=")</f>
        <v>#REF!</v>
      </c>
      <c r="CV10" t="e">
        <f>AND(#REF!,"AAAAAH/16WM=")</f>
        <v>#REF!</v>
      </c>
      <c r="CW10" t="e">
        <f>AND(#REF!,"AAAAAH/16WQ=")</f>
        <v>#REF!</v>
      </c>
      <c r="CX10" t="e">
        <f>AND(#REF!,"AAAAAH/16WU=")</f>
        <v>#REF!</v>
      </c>
      <c r="CY10" t="e">
        <f>IF(#REF!,"AAAAAH/16WY=",0)</f>
        <v>#REF!</v>
      </c>
      <c r="CZ10" t="e">
        <f>AND(#REF!,"AAAAAH/16Wc=")</f>
        <v>#REF!</v>
      </c>
      <c r="DA10" t="e">
        <f>AND(#REF!,"AAAAAH/16Wg=")</f>
        <v>#REF!</v>
      </c>
      <c r="DB10" t="e">
        <f>AND(#REF!,"AAAAAH/16Wk=")</f>
        <v>#REF!</v>
      </c>
      <c r="DC10" t="e">
        <f>AND(#REF!,"AAAAAH/16Wo=")</f>
        <v>#REF!</v>
      </c>
      <c r="DD10" t="e">
        <f>AND(#REF!,"AAAAAH/16Ws=")</f>
        <v>#REF!</v>
      </c>
      <c r="DE10" t="e">
        <f>AND(#REF!,"AAAAAH/16Ww=")</f>
        <v>#REF!</v>
      </c>
      <c r="DF10" t="e">
        <f>AND(#REF!,"AAAAAH/16W0=")</f>
        <v>#REF!</v>
      </c>
      <c r="DG10" t="e">
        <f>AND(#REF!,"AAAAAH/16W4=")</f>
        <v>#REF!</v>
      </c>
      <c r="DH10" t="e">
        <f>AND(#REF!,"AAAAAH/16W8=")</f>
        <v>#REF!</v>
      </c>
      <c r="DI10" t="e">
        <f>AND(#REF!,"AAAAAH/16XA=")</f>
        <v>#REF!</v>
      </c>
      <c r="DJ10" t="e">
        <f>AND(#REF!,"AAAAAH/16XE=")</f>
        <v>#REF!</v>
      </c>
      <c r="DK10" t="e">
        <f>AND(#REF!,"AAAAAH/16XI=")</f>
        <v>#REF!</v>
      </c>
      <c r="DL10" t="e">
        <f>AND(#REF!,"AAAAAH/16XM=")</f>
        <v>#REF!</v>
      </c>
      <c r="DM10" t="e">
        <f>AND(#REF!,"AAAAAH/16XQ=")</f>
        <v>#REF!</v>
      </c>
      <c r="DN10" t="e">
        <f>AND(#REF!,"AAAAAH/16XU=")</f>
        <v>#REF!</v>
      </c>
      <c r="DO10" t="e">
        <f>AND(#REF!,"AAAAAH/16XY=")</f>
        <v>#REF!</v>
      </c>
      <c r="DP10" t="e">
        <f>AND(#REF!,"AAAAAH/16Xc=")</f>
        <v>#REF!</v>
      </c>
      <c r="DQ10" t="e">
        <f>AND(#REF!,"AAAAAH/16Xg=")</f>
        <v>#REF!</v>
      </c>
      <c r="DR10" t="e">
        <f>IF(#REF!,"AAAAAH/16Xk=",0)</f>
        <v>#REF!</v>
      </c>
      <c r="DS10" t="e">
        <f>AND(#REF!,"AAAAAH/16Xo=")</f>
        <v>#REF!</v>
      </c>
      <c r="DT10" t="e">
        <f>AND(#REF!,"AAAAAH/16Xs=")</f>
        <v>#REF!</v>
      </c>
      <c r="DU10" t="e">
        <f>AND(#REF!,"AAAAAH/16Xw=")</f>
        <v>#REF!</v>
      </c>
      <c r="DV10" t="e">
        <f>AND(#REF!,"AAAAAH/16X0=")</f>
        <v>#REF!</v>
      </c>
      <c r="DW10" t="e">
        <f>AND(#REF!,"AAAAAH/16X4=")</f>
        <v>#REF!</v>
      </c>
      <c r="DX10" t="e">
        <f>AND(#REF!,"AAAAAH/16X8=")</f>
        <v>#REF!</v>
      </c>
      <c r="DY10" t="e">
        <f>AND(#REF!,"AAAAAH/16YA=")</f>
        <v>#REF!</v>
      </c>
      <c r="DZ10" t="e">
        <f>AND(#REF!,"AAAAAH/16YE=")</f>
        <v>#REF!</v>
      </c>
      <c r="EA10" t="e">
        <f>AND(#REF!,"AAAAAH/16YI=")</f>
        <v>#REF!</v>
      </c>
      <c r="EB10" t="e">
        <f>AND(#REF!,"AAAAAH/16YM=")</f>
        <v>#REF!</v>
      </c>
      <c r="EC10" t="e">
        <f>AND(#REF!,"AAAAAH/16YQ=")</f>
        <v>#REF!</v>
      </c>
      <c r="ED10" t="e">
        <f>AND(#REF!,"AAAAAH/16YU=")</f>
        <v>#REF!</v>
      </c>
      <c r="EE10" t="e">
        <f>AND(#REF!,"AAAAAH/16YY=")</f>
        <v>#REF!</v>
      </c>
      <c r="EF10" t="e">
        <f>AND(#REF!,"AAAAAH/16Yc=")</f>
        <v>#REF!</v>
      </c>
      <c r="EG10" t="e">
        <f>AND(#REF!,"AAAAAH/16Yg=")</f>
        <v>#REF!</v>
      </c>
      <c r="EH10" t="e">
        <f>AND(#REF!,"AAAAAH/16Yk=")</f>
        <v>#REF!</v>
      </c>
      <c r="EI10" t="e">
        <f>AND(#REF!,"AAAAAH/16Yo=")</f>
        <v>#REF!</v>
      </c>
      <c r="EJ10" t="e">
        <f>AND(#REF!,"AAAAAH/16Ys=")</f>
        <v>#REF!</v>
      </c>
      <c r="EK10" t="e">
        <f>IF(#REF!,"AAAAAH/16Yw=",0)</f>
        <v>#REF!</v>
      </c>
      <c r="EL10" t="e">
        <f>AND(#REF!,"AAAAAH/16Y0=")</f>
        <v>#REF!</v>
      </c>
      <c r="EM10" t="e">
        <f>AND(#REF!,"AAAAAH/16Y4=")</f>
        <v>#REF!</v>
      </c>
      <c r="EN10" t="e">
        <f>AND(#REF!,"AAAAAH/16Y8=")</f>
        <v>#REF!</v>
      </c>
      <c r="EO10" t="e">
        <f>AND(#REF!,"AAAAAH/16ZA=")</f>
        <v>#REF!</v>
      </c>
      <c r="EP10" t="e">
        <f>AND(#REF!,"AAAAAH/16ZE=")</f>
        <v>#REF!</v>
      </c>
      <c r="EQ10" t="e">
        <f>AND(#REF!,"AAAAAH/16ZI=")</f>
        <v>#REF!</v>
      </c>
      <c r="ER10" t="e">
        <f>AND(#REF!,"AAAAAH/16ZM=")</f>
        <v>#REF!</v>
      </c>
      <c r="ES10" t="e">
        <f>AND(#REF!,"AAAAAH/16ZQ=")</f>
        <v>#REF!</v>
      </c>
      <c r="ET10" t="e">
        <f>AND(#REF!,"AAAAAH/16ZU=")</f>
        <v>#REF!</v>
      </c>
      <c r="EU10" t="e">
        <f>AND(#REF!,"AAAAAH/16ZY=")</f>
        <v>#REF!</v>
      </c>
      <c r="EV10" t="e">
        <f>AND(#REF!,"AAAAAH/16Zc=")</f>
        <v>#REF!</v>
      </c>
      <c r="EW10" t="e">
        <f>AND(#REF!,"AAAAAH/16Zg=")</f>
        <v>#REF!</v>
      </c>
      <c r="EX10" t="e">
        <f>AND(#REF!,"AAAAAH/16Zk=")</f>
        <v>#REF!</v>
      </c>
      <c r="EY10" t="e">
        <f>AND(#REF!,"AAAAAH/16Zo=")</f>
        <v>#REF!</v>
      </c>
      <c r="EZ10" t="e">
        <f>AND(#REF!,"AAAAAH/16Zs=")</f>
        <v>#REF!</v>
      </c>
      <c r="FA10" t="e">
        <f>AND(#REF!,"AAAAAH/16Zw=")</f>
        <v>#REF!</v>
      </c>
      <c r="FB10" t="e">
        <f>AND(#REF!,"AAAAAH/16Z0=")</f>
        <v>#REF!</v>
      </c>
      <c r="FC10" t="e">
        <f>AND(#REF!,"AAAAAH/16Z4=")</f>
        <v>#REF!</v>
      </c>
      <c r="FD10" t="e">
        <f>IF(#REF!,"AAAAAH/16Z8=",0)</f>
        <v>#REF!</v>
      </c>
      <c r="FE10" t="e">
        <f>AND(#REF!,"AAAAAH/16aA=")</f>
        <v>#REF!</v>
      </c>
      <c r="FF10" t="e">
        <f>AND(#REF!,"AAAAAH/16aE=")</f>
        <v>#REF!</v>
      </c>
      <c r="FG10" t="e">
        <f>AND(#REF!,"AAAAAH/16aI=")</f>
        <v>#REF!</v>
      </c>
      <c r="FH10" t="e">
        <f>AND(#REF!,"AAAAAH/16aM=")</f>
        <v>#REF!</v>
      </c>
      <c r="FI10" t="e">
        <f>AND(#REF!,"AAAAAH/16aQ=")</f>
        <v>#REF!</v>
      </c>
      <c r="FJ10" t="e">
        <f>AND(#REF!,"AAAAAH/16aU=")</f>
        <v>#REF!</v>
      </c>
      <c r="FK10" t="e">
        <f>AND(#REF!,"AAAAAH/16aY=")</f>
        <v>#REF!</v>
      </c>
      <c r="FL10" t="e">
        <f>AND(#REF!,"AAAAAH/16ac=")</f>
        <v>#REF!</v>
      </c>
      <c r="FM10" t="e">
        <f>AND(#REF!,"AAAAAH/16ag=")</f>
        <v>#REF!</v>
      </c>
      <c r="FN10" t="e">
        <f>AND(#REF!,"AAAAAH/16ak=")</f>
        <v>#REF!</v>
      </c>
      <c r="FO10" t="e">
        <f>AND(#REF!,"AAAAAH/16ao=")</f>
        <v>#REF!</v>
      </c>
      <c r="FP10" t="e">
        <f>AND(#REF!,"AAAAAH/16as=")</f>
        <v>#REF!</v>
      </c>
      <c r="FQ10" t="e">
        <f>AND(#REF!,"AAAAAH/16aw=")</f>
        <v>#REF!</v>
      </c>
      <c r="FR10" t="e">
        <f>AND(#REF!,"AAAAAH/16a0=")</f>
        <v>#REF!</v>
      </c>
      <c r="FS10" t="e">
        <f>AND(#REF!,"AAAAAH/16a4=")</f>
        <v>#REF!</v>
      </c>
      <c r="FT10" t="e">
        <f>AND(#REF!,"AAAAAH/16a8=")</f>
        <v>#REF!</v>
      </c>
      <c r="FU10" t="e">
        <f>AND(#REF!,"AAAAAH/16bA=")</f>
        <v>#REF!</v>
      </c>
      <c r="FV10" t="e">
        <f>AND(#REF!,"AAAAAH/16bE=")</f>
        <v>#REF!</v>
      </c>
      <c r="FW10" t="e">
        <f>IF(#REF!,"AAAAAH/16bI=",0)</f>
        <v>#REF!</v>
      </c>
      <c r="FX10" t="e">
        <f>AND(#REF!,"AAAAAH/16bM=")</f>
        <v>#REF!</v>
      </c>
      <c r="FY10" t="e">
        <f>AND(#REF!,"AAAAAH/16bQ=")</f>
        <v>#REF!</v>
      </c>
      <c r="FZ10" t="e">
        <f>AND(#REF!,"AAAAAH/16bU=")</f>
        <v>#REF!</v>
      </c>
      <c r="GA10" t="e">
        <f>AND(#REF!,"AAAAAH/16bY=")</f>
        <v>#REF!</v>
      </c>
      <c r="GB10" t="e">
        <f>AND(#REF!,"AAAAAH/16bc=")</f>
        <v>#REF!</v>
      </c>
      <c r="GC10" t="e">
        <f>AND(#REF!,"AAAAAH/16bg=")</f>
        <v>#REF!</v>
      </c>
      <c r="GD10" t="e">
        <f>AND(#REF!,"AAAAAH/16bk=")</f>
        <v>#REF!</v>
      </c>
      <c r="GE10" t="e">
        <f>AND(#REF!,"AAAAAH/16bo=")</f>
        <v>#REF!</v>
      </c>
      <c r="GF10" t="e">
        <f>AND(#REF!,"AAAAAH/16bs=")</f>
        <v>#REF!</v>
      </c>
      <c r="GG10" t="e">
        <f>AND(#REF!,"AAAAAH/16bw=")</f>
        <v>#REF!</v>
      </c>
      <c r="GH10" t="e">
        <f>AND(#REF!,"AAAAAH/16b0=")</f>
        <v>#REF!</v>
      </c>
      <c r="GI10" t="e">
        <f>AND(#REF!,"AAAAAH/16b4=")</f>
        <v>#REF!</v>
      </c>
      <c r="GJ10" t="e">
        <f>AND(#REF!,"AAAAAH/16b8=")</f>
        <v>#REF!</v>
      </c>
      <c r="GK10" t="e">
        <f>AND(#REF!,"AAAAAH/16cA=")</f>
        <v>#REF!</v>
      </c>
      <c r="GL10" t="e">
        <f>AND(#REF!,"AAAAAH/16cE=")</f>
        <v>#REF!</v>
      </c>
      <c r="GM10" t="e">
        <f>AND(#REF!,"AAAAAH/16cI=")</f>
        <v>#REF!</v>
      </c>
      <c r="GN10" t="e">
        <f>AND(#REF!,"AAAAAH/16cM=")</f>
        <v>#REF!</v>
      </c>
      <c r="GO10" t="e">
        <f>AND(#REF!,"AAAAAH/16cQ=")</f>
        <v>#REF!</v>
      </c>
      <c r="GP10" t="e">
        <f>IF(#REF!,"AAAAAH/16cU=",0)</f>
        <v>#REF!</v>
      </c>
      <c r="GQ10" t="e">
        <f>AND(#REF!,"AAAAAH/16cY=")</f>
        <v>#REF!</v>
      </c>
      <c r="GR10" t="e">
        <f>AND(#REF!,"AAAAAH/16cc=")</f>
        <v>#REF!</v>
      </c>
      <c r="GS10" t="e">
        <f>AND(#REF!,"AAAAAH/16cg=")</f>
        <v>#REF!</v>
      </c>
      <c r="GT10" t="e">
        <f>AND(#REF!,"AAAAAH/16ck=")</f>
        <v>#REF!</v>
      </c>
      <c r="GU10" t="e">
        <f>AND(#REF!,"AAAAAH/16co=")</f>
        <v>#REF!</v>
      </c>
      <c r="GV10" t="e">
        <f>AND(#REF!,"AAAAAH/16cs=")</f>
        <v>#REF!</v>
      </c>
      <c r="GW10" t="e">
        <f>AND(#REF!,"AAAAAH/16cw=")</f>
        <v>#REF!</v>
      </c>
      <c r="GX10" t="e">
        <f>AND(#REF!,"AAAAAH/16c0=")</f>
        <v>#REF!</v>
      </c>
      <c r="GY10" t="e">
        <f>AND(#REF!,"AAAAAH/16c4=")</f>
        <v>#REF!</v>
      </c>
      <c r="GZ10" t="e">
        <f>AND(#REF!,"AAAAAH/16c8=")</f>
        <v>#REF!</v>
      </c>
      <c r="HA10" t="e">
        <f>AND(#REF!,"AAAAAH/16dA=")</f>
        <v>#REF!</v>
      </c>
      <c r="HB10" t="e">
        <f>AND(#REF!,"AAAAAH/16dE=")</f>
        <v>#REF!</v>
      </c>
      <c r="HC10" t="e">
        <f>AND(#REF!,"AAAAAH/16dI=")</f>
        <v>#REF!</v>
      </c>
      <c r="HD10" t="e">
        <f>AND(#REF!,"AAAAAH/16dM=")</f>
        <v>#REF!</v>
      </c>
      <c r="HE10" t="e">
        <f>AND(#REF!,"AAAAAH/16dQ=")</f>
        <v>#REF!</v>
      </c>
      <c r="HF10" t="e">
        <f>AND(#REF!,"AAAAAH/16dU=")</f>
        <v>#REF!</v>
      </c>
      <c r="HG10" t="e">
        <f>AND(#REF!,"AAAAAH/16dY=")</f>
        <v>#REF!</v>
      </c>
      <c r="HH10" t="e">
        <f>AND(#REF!,"AAAAAH/16dc=")</f>
        <v>#REF!</v>
      </c>
      <c r="HI10" t="e">
        <f>IF(#REF!,"AAAAAH/16dg=",0)</f>
        <v>#REF!</v>
      </c>
      <c r="HJ10" t="e">
        <f>AND(#REF!,"AAAAAH/16dk=")</f>
        <v>#REF!</v>
      </c>
      <c r="HK10" t="e">
        <f>AND(#REF!,"AAAAAH/16do=")</f>
        <v>#REF!</v>
      </c>
      <c r="HL10" t="e">
        <f>AND(#REF!,"AAAAAH/16ds=")</f>
        <v>#REF!</v>
      </c>
      <c r="HM10" t="e">
        <f>AND(#REF!,"AAAAAH/16dw=")</f>
        <v>#REF!</v>
      </c>
      <c r="HN10" t="e">
        <f>AND(#REF!,"AAAAAH/16d0=")</f>
        <v>#REF!</v>
      </c>
      <c r="HO10" t="e">
        <f>AND(#REF!,"AAAAAH/16d4=")</f>
        <v>#REF!</v>
      </c>
      <c r="HP10" t="e">
        <f>AND(#REF!,"AAAAAH/16d8=")</f>
        <v>#REF!</v>
      </c>
      <c r="HQ10" t="e">
        <f>AND(#REF!,"AAAAAH/16eA=")</f>
        <v>#REF!</v>
      </c>
      <c r="HR10" t="e">
        <f>AND(#REF!,"AAAAAH/16eE=")</f>
        <v>#REF!</v>
      </c>
      <c r="HS10" t="e">
        <f>AND(#REF!,"AAAAAH/16eI=")</f>
        <v>#REF!</v>
      </c>
      <c r="HT10" t="e">
        <f>AND(#REF!,"AAAAAH/16eM=")</f>
        <v>#REF!</v>
      </c>
      <c r="HU10" t="e">
        <f>AND(#REF!,"AAAAAH/16eQ=")</f>
        <v>#REF!</v>
      </c>
      <c r="HV10" t="e">
        <f>AND(#REF!,"AAAAAH/16eU=")</f>
        <v>#REF!</v>
      </c>
      <c r="HW10" t="e">
        <f>AND(#REF!,"AAAAAH/16eY=")</f>
        <v>#REF!</v>
      </c>
      <c r="HX10" t="e">
        <f>AND(#REF!,"AAAAAH/16ec=")</f>
        <v>#REF!</v>
      </c>
      <c r="HY10" t="e">
        <f>AND(#REF!,"AAAAAH/16eg=")</f>
        <v>#REF!</v>
      </c>
      <c r="HZ10" t="e">
        <f>AND(#REF!,"AAAAAH/16ek=")</f>
        <v>#REF!</v>
      </c>
      <c r="IA10" t="e">
        <f>AND(#REF!,"AAAAAH/16eo=")</f>
        <v>#REF!</v>
      </c>
      <c r="IB10" t="e">
        <f>IF(#REF!,"AAAAAH/16es=",0)</f>
        <v>#REF!</v>
      </c>
      <c r="IC10" t="e">
        <f>AND(#REF!,"AAAAAH/16ew=")</f>
        <v>#REF!</v>
      </c>
      <c r="ID10" t="e">
        <f>AND(#REF!,"AAAAAH/16e0=")</f>
        <v>#REF!</v>
      </c>
      <c r="IE10" t="e">
        <f>AND(#REF!,"AAAAAH/16e4=")</f>
        <v>#REF!</v>
      </c>
      <c r="IF10" t="e">
        <f>AND(#REF!,"AAAAAH/16e8=")</f>
        <v>#REF!</v>
      </c>
      <c r="IG10" t="e">
        <f>AND(#REF!,"AAAAAH/16fA=")</f>
        <v>#REF!</v>
      </c>
      <c r="IH10" t="e">
        <f>AND(#REF!,"AAAAAH/16fE=")</f>
        <v>#REF!</v>
      </c>
      <c r="II10" t="e">
        <f>AND(#REF!,"AAAAAH/16fI=")</f>
        <v>#REF!</v>
      </c>
      <c r="IJ10" t="e">
        <f>AND(#REF!,"AAAAAH/16fM=")</f>
        <v>#REF!</v>
      </c>
      <c r="IK10" t="e">
        <f>AND(#REF!,"AAAAAH/16fQ=")</f>
        <v>#REF!</v>
      </c>
      <c r="IL10" t="e">
        <f>AND(#REF!,"AAAAAH/16fU=")</f>
        <v>#REF!</v>
      </c>
      <c r="IM10" t="e">
        <f>AND(#REF!,"AAAAAH/16fY=")</f>
        <v>#REF!</v>
      </c>
      <c r="IN10" t="e">
        <f>AND(#REF!,"AAAAAH/16fc=")</f>
        <v>#REF!</v>
      </c>
      <c r="IO10" t="e">
        <f>AND(#REF!,"AAAAAH/16fg=")</f>
        <v>#REF!</v>
      </c>
      <c r="IP10" t="e">
        <f>AND(#REF!,"AAAAAH/16fk=")</f>
        <v>#REF!</v>
      </c>
      <c r="IQ10" t="e">
        <f>AND(#REF!,"AAAAAH/16fo=")</f>
        <v>#REF!</v>
      </c>
      <c r="IR10" t="e">
        <f>AND(#REF!,"AAAAAH/16fs=")</f>
        <v>#REF!</v>
      </c>
      <c r="IS10" t="e">
        <f>AND(#REF!,"AAAAAH/16fw=")</f>
        <v>#REF!</v>
      </c>
      <c r="IT10" t="e">
        <f>AND(#REF!,"AAAAAH/16f0=")</f>
        <v>#REF!</v>
      </c>
      <c r="IU10" t="e">
        <f>IF(#REF!,"AAAAAH/16f4=",0)</f>
        <v>#REF!</v>
      </c>
      <c r="IV10" t="e">
        <f>AND(#REF!,"AAAAAH/16f8=")</f>
        <v>#REF!</v>
      </c>
    </row>
    <row r="11" spans="1:133" ht="12.75">
      <c r="A11" t="e">
        <f>AND(#REF!,"AAAAAD+ZvwA=")</f>
        <v>#REF!</v>
      </c>
      <c r="B11" t="e">
        <f>AND(#REF!,"AAAAAD+ZvwE=")</f>
        <v>#REF!</v>
      </c>
      <c r="C11" t="e">
        <f>AND(#REF!,"AAAAAD+ZvwI=")</f>
        <v>#REF!</v>
      </c>
      <c r="D11" t="e">
        <f>AND(#REF!,"AAAAAD+ZvwM=")</f>
        <v>#REF!</v>
      </c>
      <c r="E11" t="e">
        <f>AND(#REF!,"AAAAAD+ZvwQ=")</f>
        <v>#REF!</v>
      </c>
      <c r="F11" t="e">
        <f>AND(#REF!,"AAAAAD+ZvwU=")</f>
        <v>#REF!</v>
      </c>
      <c r="G11" t="e">
        <f>AND(#REF!,"AAAAAD+ZvwY=")</f>
        <v>#REF!</v>
      </c>
      <c r="H11" t="e">
        <f>AND(#REF!,"AAAAAD+Zvwc=")</f>
        <v>#REF!</v>
      </c>
      <c r="I11" t="e">
        <f>AND(#REF!,"AAAAAD+Zvwg=")</f>
        <v>#REF!</v>
      </c>
      <c r="J11" t="e">
        <f>AND(#REF!,"AAAAAD+Zvwk=")</f>
        <v>#REF!</v>
      </c>
      <c r="K11" t="e">
        <f>AND(#REF!,"AAAAAD+Zvwo=")</f>
        <v>#REF!</v>
      </c>
      <c r="L11" t="e">
        <f>AND(#REF!,"AAAAAD+Zvws=")</f>
        <v>#REF!</v>
      </c>
      <c r="M11" t="e">
        <f>AND(#REF!,"AAAAAD+Zvww=")</f>
        <v>#REF!</v>
      </c>
      <c r="N11" t="e">
        <f>AND(#REF!,"AAAAAD+Zvw0=")</f>
        <v>#REF!</v>
      </c>
      <c r="O11" t="e">
        <f>AND(#REF!,"AAAAAD+Zvw4=")</f>
        <v>#REF!</v>
      </c>
      <c r="P11" t="e">
        <f>AND(#REF!,"AAAAAD+Zvw8=")</f>
        <v>#REF!</v>
      </c>
      <c r="Q11" t="e">
        <f>AND(#REF!,"AAAAAD+ZvxA=")</f>
        <v>#REF!</v>
      </c>
      <c r="R11" t="e">
        <f>IF(#REF!,"AAAAAD+ZvxE=",0)</f>
        <v>#REF!</v>
      </c>
      <c r="S11" t="e">
        <f>AND(#REF!,"AAAAAD+ZvxI=")</f>
        <v>#REF!</v>
      </c>
      <c r="T11" t="e">
        <f>AND(#REF!,"AAAAAD+ZvxM=")</f>
        <v>#REF!</v>
      </c>
      <c r="U11" t="e">
        <f>AND(#REF!,"AAAAAD+ZvxQ=")</f>
        <v>#REF!</v>
      </c>
      <c r="V11" t="e">
        <f>AND(#REF!,"AAAAAD+ZvxU=")</f>
        <v>#REF!</v>
      </c>
      <c r="W11" t="e">
        <f>AND(#REF!,"AAAAAD+ZvxY=")</f>
        <v>#REF!</v>
      </c>
      <c r="X11" t="e">
        <f>AND(#REF!,"AAAAAD+Zvxc=")</f>
        <v>#REF!</v>
      </c>
      <c r="Y11" t="e">
        <f>AND(#REF!,"AAAAAD+Zvxg=")</f>
        <v>#REF!</v>
      </c>
      <c r="Z11" t="e">
        <f>AND(#REF!,"AAAAAD+Zvxk=")</f>
        <v>#REF!</v>
      </c>
      <c r="AA11" t="e">
        <f>AND(#REF!,"AAAAAD+Zvxo=")</f>
        <v>#REF!</v>
      </c>
      <c r="AB11" t="e">
        <f>AND(#REF!,"AAAAAD+Zvxs=")</f>
        <v>#REF!</v>
      </c>
      <c r="AC11" t="e">
        <f>AND(#REF!,"AAAAAD+Zvxw=")</f>
        <v>#REF!</v>
      </c>
      <c r="AD11" t="e">
        <f>AND(#REF!,"AAAAAD+Zvx0=")</f>
        <v>#REF!</v>
      </c>
      <c r="AE11" t="e">
        <f>AND(#REF!,"AAAAAD+Zvx4=")</f>
        <v>#REF!</v>
      </c>
      <c r="AF11" t="e">
        <f>AND(#REF!,"AAAAAD+Zvx8=")</f>
        <v>#REF!</v>
      </c>
      <c r="AG11" t="e">
        <f>AND(#REF!,"AAAAAD+ZvyA=")</f>
        <v>#REF!</v>
      </c>
      <c r="AH11" t="e">
        <f>AND(#REF!,"AAAAAD+ZvyE=")</f>
        <v>#REF!</v>
      </c>
      <c r="AI11" t="e">
        <f>AND(#REF!,"AAAAAD+ZvyI=")</f>
        <v>#REF!</v>
      </c>
      <c r="AJ11" t="e">
        <f>AND(#REF!,"AAAAAD+ZvyM=")</f>
        <v>#REF!</v>
      </c>
      <c r="AK11" t="e">
        <f>IF(#REF!,"AAAAAD+ZvyQ=",0)</f>
        <v>#REF!</v>
      </c>
      <c r="AL11" t="e">
        <f>AND(#REF!,"AAAAAD+ZvyU=")</f>
        <v>#REF!</v>
      </c>
      <c r="AM11" t="e">
        <f>AND(#REF!,"AAAAAD+ZvyY=")</f>
        <v>#REF!</v>
      </c>
      <c r="AN11" t="e">
        <f>AND(#REF!,"AAAAAD+Zvyc=")</f>
        <v>#REF!</v>
      </c>
      <c r="AO11" t="e">
        <f>AND(#REF!,"AAAAAD+Zvyg=")</f>
        <v>#REF!</v>
      </c>
      <c r="AP11" t="e">
        <f>AND(#REF!,"AAAAAD+Zvyk=")</f>
        <v>#REF!</v>
      </c>
      <c r="AQ11" t="e">
        <f>AND(#REF!,"AAAAAD+Zvyo=")</f>
        <v>#REF!</v>
      </c>
      <c r="AR11" t="e">
        <f>AND(#REF!,"AAAAAD+Zvys=")</f>
        <v>#REF!</v>
      </c>
      <c r="AS11" t="e">
        <f>AND(#REF!,"AAAAAD+Zvyw=")</f>
        <v>#REF!</v>
      </c>
      <c r="AT11" t="e">
        <f>AND(#REF!,"AAAAAD+Zvy0=")</f>
        <v>#REF!</v>
      </c>
      <c r="AU11" t="e">
        <f>AND(#REF!,"AAAAAD+Zvy4=")</f>
        <v>#REF!</v>
      </c>
      <c r="AV11" t="e">
        <f>AND(#REF!,"AAAAAD+Zvy8=")</f>
        <v>#REF!</v>
      </c>
      <c r="AW11" t="e">
        <f>AND(#REF!,"AAAAAD+ZvzA=")</f>
        <v>#REF!</v>
      </c>
      <c r="AX11" t="e">
        <f>AND(#REF!,"AAAAAD+ZvzE=")</f>
        <v>#REF!</v>
      </c>
      <c r="AY11" t="e">
        <f>AND(#REF!,"AAAAAD+ZvzI=")</f>
        <v>#REF!</v>
      </c>
      <c r="AZ11" t="e">
        <f>AND(#REF!,"AAAAAD+ZvzM=")</f>
        <v>#REF!</v>
      </c>
      <c r="BA11" t="e">
        <f>AND(#REF!,"AAAAAD+ZvzQ=")</f>
        <v>#REF!</v>
      </c>
      <c r="BB11" t="e">
        <f>AND(#REF!,"AAAAAD+ZvzU=")</f>
        <v>#REF!</v>
      </c>
      <c r="BC11" t="e">
        <f>AND(#REF!,"AAAAAD+ZvzY=")</f>
        <v>#REF!</v>
      </c>
      <c r="BD11" t="e">
        <f>IF(#REF!,"AAAAAD+Zvzc=",0)</f>
        <v>#REF!</v>
      </c>
      <c r="BE11" t="e">
        <f>AND(#REF!,"AAAAAD+Zvzg=")</f>
        <v>#REF!</v>
      </c>
      <c r="BF11" t="e">
        <f>AND(#REF!,"AAAAAD+Zvzk=")</f>
        <v>#REF!</v>
      </c>
      <c r="BG11" t="e">
        <f>AND(#REF!,"AAAAAD+Zvzo=")</f>
        <v>#REF!</v>
      </c>
      <c r="BH11" t="e">
        <f>AND(#REF!,"AAAAAD+Zvzs=")</f>
        <v>#REF!</v>
      </c>
      <c r="BI11" t="e">
        <f>AND(#REF!,"AAAAAD+Zvzw=")</f>
        <v>#REF!</v>
      </c>
      <c r="BJ11" t="e">
        <f>AND(#REF!,"AAAAAD+Zvz0=")</f>
        <v>#REF!</v>
      </c>
      <c r="BK11" t="e">
        <f>AND(#REF!,"AAAAAD+Zvz4=")</f>
        <v>#REF!</v>
      </c>
      <c r="BL11" t="e">
        <f>AND(#REF!,"AAAAAD+Zvz8=")</f>
        <v>#REF!</v>
      </c>
      <c r="BM11" t="e">
        <f>AND(#REF!,"AAAAAD+Zv0A=")</f>
        <v>#REF!</v>
      </c>
      <c r="BN11" t="e">
        <f>AND(#REF!,"AAAAAD+Zv0E=")</f>
        <v>#REF!</v>
      </c>
      <c r="BO11" t="e">
        <f>AND(#REF!,"AAAAAD+Zv0I=")</f>
        <v>#REF!</v>
      </c>
      <c r="BP11" t="e">
        <f>AND(#REF!,"AAAAAD+Zv0M=")</f>
        <v>#REF!</v>
      </c>
      <c r="BQ11" t="e">
        <f>AND(#REF!,"AAAAAD+Zv0Q=")</f>
        <v>#REF!</v>
      </c>
      <c r="BR11" t="e">
        <f>AND(#REF!,"AAAAAD+Zv0U=")</f>
        <v>#REF!</v>
      </c>
      <c r="BS11" t="e">
        <f>AND(#REF!,"AAAAAD+Zv0Y=")</f>
        <v>#REF!</v>
      </c>
      <c r="BT11" t="e">
        <f>AND(#REF!,"AAAAAD+Zv0c=")</f>
        <v>#REF!</v>
      </c>
      <c r="BU11" t="e">
        <f>AND(#REF!,"AAAAAD+Zv0g=")</f>
        <v>#REF!</v>
      </c>
      <c r="BV11" t="e">
        <f>AND(#REF!,"AAAAAD+Zv0k=")</f>
        <v>#REF!</v>
      </c>
      <c r="BW11" t="e">
        <f>IF(#REF!,"AAAAAD+Zv0o=",0)</f>
        <v>#REF!</v>
      </c>
      <c r="BX11" t="e">
        <f>AND(#REF!,"AAAAAD+Zv0s=")</f>
        <v>#REF!</v>
      </c>
      <c r="BY11" t="e">
        <f>AND(#REF!,"AAAAAD+Zv0w=")</f>
        <v>#REF!</v>
      </c>
      <c r="BZ11" t="e">
        <f>AND(#REF!,"AAAAAD+Zv00=")</f>
        <v>#REF!</v>
      </c>
      <c r="CA11" t="e">
        <f>AND(#REF!,"AAAAAD+Zv04=")</f>
        <v>#REF!</v>
      </c>
      <c r="CB11" t="e">
        <f>AND(#REF!,"AAAAAD+Zv08=")</f>
        <v>#REF!</v>
      </c>
      <c r="CC11" t="e">
        <f>AND(#REF!,"AAAAAD+Zv1A=")</f>
        <v>#REF!</v>
      </c>
      <c r="CD11" t="e">
        <f>AND(#REF!,"AAAAAD+Zv1E=")</f>
        <v>#REF!</v>
      </c>
      <c r="CE11" t="e">
        <f>AND(#REF!,"AAAAAD+Zv1I=")</f>
        <v>#REF!</v>
      </c>
      <c r="CF11" t="e">
        <f>AND(#REF!,"AAAAAD+Zv1M=")</f>
        <v>#REF!</v>
      </c>
      <c r="CG11" t="e">
        <f>AND(#REF!,"AAAAAD+Zv1Q=")</f>
        <v>#REF!</v>
      </c>
      <c r="CH11" t="e">
        <f>AND(#REF!,"AAAAAD+Zv1U=")</f>
        <v>#REF!</v>
      </c>
      <c r="CI11" t="e">
        <f>AND(#REF!,"AAAAAD+Zv1Y=")</f>
        <v>#REF!</v>
      </c>
      <c r="CJ11" t="e">
        <f>AND(#REF!,"AAAAAD+Zv1c=")</f>
        <v>#REF!</v>
      </c>
      <c r="CK11" t="e">
        <f>AND(#REF!,"AAAAAD+Zv1g=")</f>
        <v>#REF!</v>
      </c>
      <c r="CL11" t="e">
        <f>AND(#REF!,"AAAAAD+Zv1k=")</f>
        <v>#REF!</v>
      </c>
      <c r="CM11" t="e">
        <f>AND(#REF!,"AAAAAD+Zv1o=")</f>
        <v>#REF!</v>
      </c>
      <c r="CN11" t="e">
        <f>AND(#REF!,"AAAAAD+Zv1s=")</f>
        <v>#REF!</v>
      </c>
      <c r="CO11" t="e">
        <f>AND(#REF!,"AAAAAD+Zv1w=")</f>
        <v>#REF!</v>
      </c>
      <c r="CP11" t="e">
        <f>IF(#REF!,"AAAAAD+Zv10=",0)</f>
        <v>#REF!</v>
      </c>
      <c r="CQ11" t="e">
        <f>AND(#REF!,"AAAAAD+Zv14=")</f>
        <v>#REF!</v>
      </c>
      <c r="CR11" t="e">
        <f>AND(#REF!,"AAAAAD+Zv18=")</f>
        <v>#REF!</v>
      </c>
      <c r="CS11" t="e">
        <f>AND(#REF!,"AAAAAD+Zv2A=")</f>
        <v>#REF!</v>
      </c>
      <c r="CT11" t="e">
        <f>AND(#REF!,"AAAAAD+Zv2E=")</f>
        <v>#REF!</v>
      </c>
      <c r="CU11" t="e">
        <f>AND(#REF!,"AAAAAD+Zv2I=")</f>
        <v>#REF!</v>
      </c>
      <c r="CV11" t="e">
        <f>AND(#REF!,"AAAAAD+Zv2M=")</f>
        <v>#REF!</v>
      </c>
      <c r="CW11" t="e">
        <f>AND(#REF!,"AAAAAD+Zv2Q=")</f>
        <v>#REF!</v>
      </c>
      <c r="CX11" t="e">
        <f>AND(#REF!,"AAAAAD+Zv2U=")</f>
        <v>#REF!</v>
      </c>
      <c r="CY11" t="e">
        <f>AND(#REF!,"AAAAAD+Zv2Y=")</f>
        <v>#REF!</v>
      </c>
      <c r="CZ11" t="e">
        <f>AND(#REF!,"AAAAAD+Zv2c=")</f>
        <v>#REF!</v>
      </c>
      <c r="DA11" t="e">
        <f>AND(#REF!,"AAAAAD+Zv2g=")</f>
        <v>#REF!</v>
      </c>
      <c r="DB11" t="e">
        <f>AND(#REF!,"AAAAAD+Zv2k=")</f>
        <v>#REF!</v>
      </c>
      <c r="DC11" t="e">
        <f>AND(#REF!,"AAAAAD+Zv2o=")</f>
        <v>#REF!</v>
      </c>
      <c r="DD11" t="e">
        <f>AND(#REF!,"AAAAAD+Zv2s=")</f>
        <v>#REF!</v>
      </c>
      <c r="DE11" t="e">
        <f>AND(#REF!,"AAAAAD+Zv2w=")</f>
        <v>#REF!</v>
      </c>
      <c r="DF11" t="e">
        <f>AND(#REF!,"AAAAAD+Zv20=")</f>
        <v>#REF!</v>
      </c>
      <c r="DG11" t="e">
        <f>AND(#REF!,"AAAAAD+Zv24=")</f>
        <v>#REF!</v>
      </c>
      <c r="DH11" t="e">
        <f>AND(#REF!,"AAAAAD+Zv28=")</f>
        <v>#REF!</v>
      </c>
      <c r="DI11" t="e">
        <f>IF(#REF!,"AAAAAD+Zv3A=",0)</f>
        <v>#REF!</v>
      </c>
      <c r="DJ11" t="e">
        <f>IF(#REF!,"AAAAAD+Zv3E=",0)</f>
        <v>#REF!</v>
      </c>
      <c r="DK11" t="e">
        <f>IF(#REF!,"AAAAAD+Zv3I=",0)</f>
        <v>#REF!</v>
      </c>
      <c r="DL11" t="e">
        <f>IF(#REF!,"AAAAAD+Zv3M=",0)</f>
        <v>#REF!</v>
      </c>
      <c r="DM11" t="e">
        <f>IF(#REF!,"AAAAAD+Zv3Q=",0)</f>
        <v>#REF!</v>
      </c>
      <c r="DN11" t="e">
        <f>IF(#REF!,"AAAAAD+Zv3U=",0)</f>
        <v>#REF!</v>
      </c>
      <c r="DO11" t="e">
        <f>IF(#REF!,"AAAAAD+Zv3Y=",0)</f>
        <v>#REF!</v>
      </c>
      <c r="DP11" t="e">
        <f>IF(#REF!,"AAAAAD+Zv3c=",0)</f>
        <v>#REF!</v>
      </c>
      <c r="DQ11" t="e">
        <f>IF(#REF!,"AAAAAD+Zv3g=",0)</f>
        <v>#REF!</v>
      </c>
      <c r="DR11" t="e">
        <f>IF(#REF!,"AAAAAD+Zv3k=",0)</f>
        <v>#REF!</v>
      </c>
      <c r="DS11" t="e">
        <f>IF(#REF!,"AAAAAD+Zv3o=",0)</f>
        <v>#REF!</v>
      </c>
      <c r="DT11" t="e">
        <f>IF(#REF!,"AAAAAD+Zv3s=",0)</f>
        <v>#REF!</v>
      </c>
      <c r="DU11" t="e">
        <f>IF(#REF!,"AAAAAD+Zv3w=",0)</f>
        <v>#REF!</v>
      </c>
      <c r="DV11" t="e">
        <f>IF(#REF!,"AAAAAD+Zv30=",0)</f>
        <v>#REF!</v>
      </c>
      <c r="DW11" t="e">
        <f>IF(#REF!,"AAAAAD+Zv34=",0)</f>
        <v>#REF!</v>
      </c>
      <c r="DX11" t="e">
        <f>IF(#REF!,"AAAAAD+Zv38=",0)</f>
        <v>#REF!</v>
      </c>
      <c r="DY11" t="e">
        <f>IF(#REF!,"AAAAAD+Zv4A=",0)</f>
        <v>#REF!</v>
      </c>
      <c r="DZ11" t="e">
        <f>IF(#REF!,"AAAAAD+Zv4E=",0)</f>
        <v>#REF!</v>
      </c>
      <c r="EA11" t="e">
        <f>IF(#REF!,"AAAAAD+Zv4I=",0)</f>
        <v>#REF!</v>
      </c>
      <c r="EB11" s="16" t="s">
        <v>105</v>
      </c>
      <c r="EC11" t="s">
        <v>106</v>
      </c>
    </row>
    <row r="12" spans="1:18" ht="12.75">
      <c r="A12" t="e">
        <f>AND(#REF!,"AAAAAD94/QA=")</f>
        <v>#REF!</v>
      </c>
      <c r="B12" t="e">
        <f>AND(#REF!,"AAAAAD94/QE=")</f>
        <v>#REF!</v>
      </c>
      <c r="C12" t="e">
        <f>AND(#REF!,"AAAAAD94/QI=")</f>
        <v>#REF!</v>
      </c>
      <c r="D12" t="e">
        <f>AND(#REF!,"AAAAAD94/QM=")</f>
        <v>#REF!</v>
      </c>
      <c r="E12" t="e">
        <f>AND(#REF!,"AAAAAD94/QQ=")</f>
        <v>#REF!</v>
      </c>
      <c r="F12" t="e">
        <f>AND(#REF!,"AAAAAD94/QU=")</f>
        <v>#REF!</v>
      </c>
      <c r="G12" t="e">
        <f>AND(#REF!,"AAAAAD94/QY=")</f>
        <v>#REF!</v>
      </c>
      <c r="H12" t="e">
        <f>AND(#REF!,"AAAAAD94/Qc=")</f>
        <v>#REF!</v>
      </c>
      <c r="I12" t="e">
        <f>AND(#REF!,"AAAAAD94/Qg=")</f>
        <v>#REF!</v>
      </c>
      <c r="J12" t="e">
        <f>AND(#REF!,"AAAAAD94/Qk=")</f>
        <v>#REF!</v>
      </c>
      <c r="K12" t="e">
        <f>AND(#REF!,"AAAAAD94/Qo=")</f>
        <v>#REF!</v>
      </c>
      <c r="L12" t="e">
        <f>AND(#REF!,"AAAAAD94/Qs=")</f>
        <v>#REF!</v>
      </c>
      <c r="M12" t="e">
        <f>AND(#REF!,"AAAAAD94/Qw=")</f>
        <v>#REF!</v>
      </c>
      <c r="N12" t="e">
        <f>AND(#REF!,"AAAAAD94/Q0=")</f>
        <v>#REF!</v>
      </c>
      <c r="O12" t="e">
        <f>AND(#REF!,"AAAAAD94/Q4=")</f>
        <v>#REF!</v>
      </c>
      <c r="P12" t="e">
        <f>AND(#REF!,"AAAAAD94/Q8=")</f>
        <v>#REF!</v>
      </c>
      <c r="Q12" t="e">
        <f>AND(#REF!,"AAAAAD94/RA=")</f>
        <v>#REF!</v>
      </c>
      <c r="R12" t="e">
        <f>AND(#REF!,"AAAAAD94/RE=")</f>
        <v>#REF!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JTaylor</dc:creator>
  <cp:keywords/>
  <dc:description/>
  <cp:lastModifiedBy>Don Allgood</cp:lastModifiedBy>
  <cp:lastPrinted>2017-09-18T20:18:06Z</cp:lastPrinted>
  <dcterms:created xsi:type="dcterms:W3CDTF">2012-06-05T14:46:29Z</dcterms:created>
  <dcterms:modified xsi:type="dcterms:W3CDTF">2018-06-29T12:55:22Z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15fHPkgAHNtbnPyebfNYweZ_Y6FcW7FP3WuSgF4jFDq4</vt:lpwstr>
  </property>
  <property fmtid="{D5CDD505-2E9C-101B-9397-08002B2CF9AE}" pid="4" name="Google.Documents.RevisionId">
    <vt:lpwstr>17730859387787206126</vt:lpwstr>
  </property>
  <property fmtid="{D5CDD505-2E9C-101B-9397-08002B2CF9AE}" pid="5" name="Google.Documents.PreviousRevisionId">
    <vt:lpwstr>15239165040202817507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